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Filin\Desktop\Sintec_backup\IN\"/>
    </mc:Choice>
  </mc:AlternateContent>
  <xr:revisionPtr revIDLastSave="0" documentId="13_ncr:1_{F9C345C1-BA7C-4E13-871B-54B93B382C4C}" xr6:coauthVersionLast="47" xr6:coauthVersionMax="47" xr10:uidLastSave="{00000000-0000-0000-0000-000000000000}"/>
  <bookViews>
    <workbookView xWindow="28680" yWindow="-1995" windowWidth="29040" windowHeight="15720" xr2:uid="{00000000-000D-0000-FFFF-FFFF00000000}"/>
  </bookViews>
  <sheets>
    <sheet name="Данные" sheetId="1" r:id="rId1"/>
  </sheets>
  <definedNames>
    <definedName name="_xlnm._FilterDatabase" localSheetId="0" hidden="1">Данные!$A$6:$GJ$502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502" i="1" l="1"/>
  <c r="FW501" i="1"/>
  <c r="FW500" i="1"/>
  <c r="FW499" i="1"/>
  <c r="FW498" i="1"/>
  <c r="FW497" i="1"/>
  <c r="FW496" i="1"/>
  <c r="FW495" i="1"/>
  <c r="FW494" i="1"/>
  <c r="FW493" i="1"/>
  <c r="FW492" i="1"/>
  <c r="FW491" i="1"/>
  <c r="FW490" i="1"/>
  <c r="FW489" i="1"/>
  <c r="FW488" i="1"/>
  <c r="FW487" i="1"/>
  <c r="FW486" i="1"/>
  <c r="FW485" i="1"/>
  <c r="FW484" i="1"/>
  <c r="FW483" i="1"/>
  <c r="FW482" i="1"/>
  <c r="FW481" i="1"/>
  <c r="FW480" i="1"/>
  <c r="FW479" i="1"/>
  <c r="FW478" i="1"/>
  <c r="FW477" i="1"/>
  <c r="FW476" i="1"/>
  <c r="FW475" i="1"/>
  <c r="FW474" i="1"/>
  <c r="FW473" i="1"/>
  <c r="FW472" i="1"/>
  <c r="FW471" i="1"/>
  <c r="FW470" i="1"/>
  <c r="FW469" i="1"/>
  <c r="FW468" i="1"/>
  <c r="FW467" i="1"/>
  <c r="FW466" i="1"/>
  <c r="FW465" i="1"/>
  <c r="FW464" i="1"/>
  <c r="FW463" i="1"/>
  <c r="FW462" i="1"/>
  <c r="FW461" i="1"/>
  <c r="FW460" i="1"/>
  <c r="FW459" i="1"/>
  <c r="FW458" i="1"/>
  <c r="FW457" i="1"/>
  <c r="FW456" i="1"/>
  <c r="FW455" i="1"/>
  <c r="FW454" i="1"/>
  <c r="FW453" i="1"/>
  <c r="FW452" i="1"/>
  <c r="FW451" i="1"/>
  <c r="FW450" i="1"/>
  <c r="FW449" i="1"/>
  <c r="FW448" i="1"/>
  <c r="FW447" i="1"/>
  <c r="FW446" i="1"/>
  <c r="FW445" i="1"/>
  <c r="FW444" i="1"/>
  <c r="FW443" i="1"/>
  <c r="FW442" i="1"/>
  <c r="FW441" i="1"/>
  <c r="FW440" i="1"/>
  <c r="FW439" i="1"/>
  <c r="FW438" i="1"/>
  <c r="FW437" i="1"/>
  <c r="FW436" i="1"/>
  <c r="FW435" i="1"/>
  <c r="FW434" i="1"/>
  <c r="FW433" i="1"/>
  <c r="FW432" i="1"/>
  <c r="FW431" i="1"/>
  <c r="FW430" i="1"/>
  <c r="FW429" i="1"/>
  <c r="FW428" i="1"/>
  <c r="FW427" i="1"/>
  <c r="FW426" i="1"/>
  <c r="FW425" i="1"/>
  <c r="FW424" i="1"/>
  <c r="FW423" i="1"/>
  <c r="FW422" i="1"/>
  <c r="FW421" i="1"/>
  <c r="FW420" i="1"/>
  <c r="FW419" i="1"/>
  <c r="FW418" i="1"/>
  <c r="FW417" i="1"/>
  <c r="FW416" i="1"/>
  <c r="FW415" i="1"/>
  <c r="FW414" i="1"/>
  <c r="FW413" i="1"/>
  <c r="FW412" i="1"/>
  <c r="FW411" i="1"/>
  <c r="FW410" i="1"/>
  <c r="FW409" i="1"/>
  <c r="FW408" i="1"/>
  <c r="FW407" i="1"/>
  <c r="FW406" i="1"/>
  <c r="FW405" i="1"/>
  <c r="FW404" i="1"/>
  <c r="FW403" i="1"/>
  <c r="FW402" i="1"/>
  <c r="FW401" i="1"/>
  <c r="FW400" i="1"/>
  <c r="FW399" i="1"/>
  <c r="FW398" i="1"/>
  <c r="FW397" i="1"/>
  <c r="FW396" i="1"/>
  <c r="FW395" i="1"/>
  <c r="FW394" i="1"/>
  <c r="FW393" i="1"/>
  <c r="FW392" i="1"/>
  <c r="FW391" i="1"/>
  <c r="FW390" i="1"/>
  <c r="FW389" i="1"/>
  <c r="FW388" i="1"/>
  <c r="FW387" i="1"/>
  <c r="FW386" i="1"/>
  <c r="FW385" i="1"/>
  <c r="FW384" i="1"/>
  <c r="FW383" i="1"/>
  <c r="FW382" i="1"/>
  <c r="FW381" i="1"/>
  <c r="FW380" i="1"/>
  <c r="FW379" i="1"/>
  <c r="FW378" i="1"/>
  <c r="FW377" i="1"/>
  <c r="FW376" i="1"/>
  <c r="FW375" i="1"/>
  <c r="FW374" i="1"/>
  <c r="FW373" i="1"/>
  <c r="FW372" i="1"/>
  <c r="FW371" i="1"/>
  <c r="FW370" i="1"/>
  <c r="FW369" i="1"/>
  <c r="FW368" i="1"/>
  <c r="FW367" i="1"/>
  <c r="FW366" i="1"/>
  <c r="FW365" i="1"/>
  <c r="FW364" i="1"/>
  <c r="FW363" i="1"/>
  <c r="FW362" i="1"/>
  <c r="FW361" i="1"/>
  <c r="FW360" i="1"/>
  <c r="FW359" i="1"/>
  <c r="FW358" i="1"/>
  <c r="FW357" i="1"/>
  <c r="FW356" i="1"/>
  <c r="FW355" i="1"/>
  <c r="FW354" i="1"/>
  <c r="FW353" i="1"/>
  <c r="FW352" i="1"/>
  <c r="FW351" i="1"/>
  <c r="FW350" i="1"/>
  <c r="FW349" i="1"/>
  <c r="FW348" i="1"/>
  <c r="FW347" i="1"/>
  <c r="FW346" i="1"/>
  <c r="FW345" i="1"/>
  <c r="FW344" i="1"/>
  <c r="FW343" i="1"/>
  <c r="FW342" i="1"/>
  <c r="FW341" i="1"/>
  <c r="FW340" i="1"/>
  <c r="FW339" i="1"/>
  <c r="FW338" i="1"/>
  <c r="FW337" i="1"/>
  <c r="FW336" i="1"/>
  <c r="FW335" i="1"/>
  <c r="FW334" i="1"/>
  <c r="FW333" i="1"/>
  <c r="FW332" i="1"/>
  <c r="FW331" i="1"/>
  <c r="FW330" i="1"/>
  <c r="FW329" i="1"/>
  <c r="FW328" i="1"/>
  <c r="FW327" i="1"/>
  <c r="FW326" i="1"/>
  <c r="FW325" i="1"/>
  <c r="FW324" i="1"/>
  <c r="FW323" i="1"/>
  <c r="FW322" i="1"/>
  <c r="FW321" i="1"/>
  <c r="FW320" i="1"/>
  <c r="FW319" i="1"/>
  <c r="FW318" i="1"/>
  <c r="FW317" i="1"/>
  <c r="FW316" i="1"/>
  <c r="FW315" i="1"/>
  <c r="FW314" i="1"/>
  <c r="FW313" i="1"/>
  <c r="FW312" i="1"/>
  <c r="FW311" i="1"/>
  <c r="FW310" i="1"/>
  <c r="FW309" i="1"/>
  <c r="FW308" i="1"/>
  <c r="FW307" i="1"/>
  <c r="FW306" i="1"/>
  <c r="FW305" i="1"/>
  <c r="FW304" i="1"/>
  <c r="FW303" i="1"/>
  <c r="FW302" i="1"/>
  <c r="FW301" i="1"/>
  <c r="FW300" i="1"/>
  <c r="FW299" i="1"/>
  <c r="FW298" i="1"/>
  <c r="FW297" i="1"/>
  <c r="FW296" i="1"/>
  <c r="FW295" i="1"/>
  <c r="FW294" i="1"/>
  <c r="FW293" i="1"/>
  <c r="FW292" i="1"/>
  <c r="FW291" i="1"/>
  <c r="FW290" i="1"/>
  <c r="FW289" i="1"/>
  <c r="FW288" i="1"/>
  <c r="FW287" i="1"/>
  <c r="FW286" i="1"/>
  <c r="FW285" i="1"/>
  <c r="FW284" i="1"/>
  <c r="FW283" i="1"/>
  <c r="FW282" i="1"/>
  <c r="FW281" i="1"/>
  <c r="FW280" i="1"/>
  <c r="FW279" i="1"/>
  <c r="FW278" i="1"/>
  <c r="FW277" i="1"/>
  <c r="FW276" i="1"/>
  <c r="FW275" i="1"/>
  <c r="FW274" i="1"/>
  <c r="FW273" i="1"/>
  <c r="FW272" i="1"/>
  <c r="FW271" i="1"/>
  <c r="FW270" i="1"/>
  <c r="FW269" i="1"/>
  <c r="FW268" i="1"/>
  <c r="FW267" i="1"/>
  <c r="FW266" i="1"/>
  <c r="FW265" i="1"/>
  <c r="FW264" i="1"/>
  <c r="FW263" i="1"/>
  <c r="FW262" i="1"/>
  <c r="FW261" i="1"/>
  <c r="FW260" i="1"/>
  <c r="FW259" i="1"/>
  <c r="FW258" i="1"/>
  <c r="FW257" i="1"/>
  <c r="FW256" i="1"/>
  <c r="FW255" i="1"/>
  <c r="FW254" i="1"/>
  <c r="FW253" i="1"/>
  <c r="FW252" i="1"/>
  <c r="FW251" i="1"/>
  <c r="FW250" i="1"/>
  <c r="FW249" i="1"/>
  <c r="FW248" i="1"/>
  <c r="FW247" i="1"/>
  <c r="FW246" i="1"/>
  <c r="FW245" i="1"/>
  <c r="FW244" i="1"/>
  <c r="FW243" i="1"/>
  <c r="FW242" i="1"/>
  <c r="FW241" i="1"/>
  <c r="FW240" i="1"/>
  <c r="FW239" i="1"/>
  <c r="FW238" i="1"/>
  <c r="FW237" i="1"/>
  <c r="FW236" i="1"/>
  <c r="FW235" i="1"/>
  <c r="FW234" i="1"/>
  <c r="FW233" i="1"/>
  <c r="FW232" i="1"/>
  <c r="FW231" i="1"/>
  <c r="FW230" i="1"/>
  <c r="FW229" i="1"/>
  <c r="FW228" i="1"/>
  <c r="FW227" i="1"/>
  <c r="FW226" i="1"/>
  <c r="FW225" i="1"/>
  <c r="FW224" i="1"/>
  <c r="FW223" i="1"/>
  <c r="FW222" i="1"/>
  <c r="FW221" i="1"/>
  <c r="FW220" i="1"/>
  <c r="FW219" i="1"/>
  <c r="FW218" i="1"/>
  <c r="FW217" i="1"/>
  <c r="FW216" i="1"/>
  <c r="FW215" i="1"/>
  <c r="FW214" i="1"/>
  <c r="FW213" i="1"/>
  <c r="FW212" i="1"/>
  <c r="FW211" i="1"/>
  <c r="FW210" i="1"/>
  <c r="FW209" i="1"/>
  <c r="FW208" i="1"/>
  <c r="FW207" i="1"/>
  <c r="FW206" i="1"/>
  <c r="FW205" i="1"/>
  <c r="FW204" i="1"/>
  <c r="FW203" i="1"/>
  <c r="FW202" i="1"/>
  <c r="FW201" i="1"/>
  <c r="FW200" i="1"/>
  <c r="FW199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D497" i="1" s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D371" i="1" s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B355" i="1"/>
  <c r="DA355" i="1"/>
  <c r="CV355" i="1"/>
  <c r="BQ355" i="1"/>
  <c r="AN355" i="1" s="1"/>
  <c r="AO355" i="1" s="1"/>
  <c r="BH355" i="1"/>
  <c r="BF355" i="1"/>
  <c r="AX355" i="1"/>
  <c r="AY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AN341" i="1" s="1"/>
  <c r="AO341" i="1" s="1"/>
  <c r="BH341" i="1"/>
  <c r="BF341" i="1"/>
  <c r="AY341" i="1"/>
  <c r="AW341" i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AN242" i="1" s="1"/>
  <c r="AO242" i="1" s="1"/>
  <c r="BH242" i="1"/>
  <c r="BF242" i="1"/>
  <c r="AY242" i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E193" i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AN165" i="1" s="1"/>
  <c r="AO165" i="1" s="1"/>
  <c r="BH165" i="1"/>
  <c r="BF165" i="1"/>
  <c r="AX165" i="1"/>
  <c r="AY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BH136" i="1"/>
  <c r="BF136" i="1"/>
  <c r="AY136" i="1"/>
  <c r="AW136" i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AN97" i="1" s="1"/>
  <c r="AO97" i="1" s="1"/>
  <c r="BH97" i="1"/>
  <c r="BF97" i="1"/>
  <c r="AX97" i="1"/>
  <c r="AY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U229" i="1" l="1"/>
  <c r="DU273" i="1"/>
  <c r="EH348" i="1"/>
  <c r="DD44" i="1"/>
  <c r="EF492" i="1"/>
  <c r="DK202" i="1"/>
  <c r="DD137" i="1"/>
  <c r="DD193" i="1"/>
  <c r="DD118" i="1"/>
  <c r="DD494" i="1"/>
  <c r="DD260" i="1"/>
  <c r="DY378" i="1"/>
  <c r="DD355" i="1"/>
  <c r="DD246" i="1"/>
  <c r="DD379" i="1"/>
  <c r="DU279" i="1"/>
  <c r="DU219" i="1"/>
  <c r="DD83" i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AV95" i="1" l="1"/>
  <c r="BX407" i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AV339" i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136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Желков Ярослав Александрович</author>
  </authors>
  <commentList>
    <comment ref="T5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<sst xmlns="http://schemas.openxmlformats.org/spreadsheetml/2006/main" count="11412" uniqueCount="1047">
  <si>
    <t>Форм 2025</t>
  </si>
  <si>
    <t>АПР (закрыт)</t>
  </si>
  <si>
    <t>Форм 2026</t>
  </si>
  <si>
    <t>ГП и ТП</t>
  </si>
  <si>
    <t>п-ф продаж</t>
  </si>
  <si>
    <t>коэфф</t>
  </si>
  <si>
    <t>МАЙ (не закрыт)</t>
  </si>
  <si>
    <t>коммент</t>
  </si>
  <si>
    <t>Форм 2027</t>
  </si>
  <si>
    <t>СиМ</t>
  </si>
  <si>
    <t>ИЮНЬ (не закрыт)</t>
  </si>
  <si>
    <t>Структура остатков от 01.06.25, сс мая - новые позиции и с\с будут добавлены и обновлены в след отчете</t>
  </si>
  <si>
    <t>для расч остатка</t>
  </si>
  <si>
    <t>на 01.04.25</t>
  </si>
  <si>
    <t>на 27.06.25</t>
  </si>
  <si>
    <t>паллеты по данным 1С, могут быть неточно расчитаны</t>
  </si>
  <si>
    <t>май</t>
  </si>
  <si>
    <t>по планам</t>
  </si>
  <si>
    <t>по предыдущим планам</t>
  </si>
  <si>
    <t>по последним планам</t>
  </si>
  <si>
    <t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</si>
  <si>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</si>
  <si>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</si>
  <si>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</si>
  <si>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</si>
  <si>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</si>
  <si>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</si>
  <si>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>плановая</t>
  </si>
  <si>
    <t>на 05.06.25</t>
  </si>
  <si>
    <t>Отв-й ОКП, БХ</t>
  </si>
  <si>
    <t>ГП, ТП на 01.06, СиМ, ПФ на 01.06</t>
  </si>
  <si>
    <t>для ГП (от 05.06.25)</t>
  </si>
  <si>
    <t>факт</t>
  </si>
  <si>
    <t>ГП, ТП - от 25.03; СиМ, ПФ - от 31.03</t>
  </si>
  <si>
    <t>ГП, ТП - от 15.05; СиМ, ПФ - от 06.05</t>
  </si>
  <si>
    <t>Переключ. проблемные позиции ТУТ</t>
  </si>
  <si>
    <t>ГП, ТП - от 28.05; СиМ, ПФ - от 30.05</t>
  </si>
  <si>
    <t>по данным отв-го</t>
  </si>
  <si>
    <t>сработка, продажа, утилизация, частичная утилизация, слив переварка, принять решение</t>
  </si>
  <si>
    <t>текущ остаток или для частично - вручную</t>
  </si>
  <si>
    <t>нат.ед.</t>
  </si>
  <si>
    <t>план</t>
  </si>
  <si>
    <t>Расч ост на 01.07.25, нат.ед.</t>
  </si>
  <si>
    <t>Расч ост на 01.08.25, нат.ед.</t>
  </si>
  <si>
    <t>Расч ост на 01.09.25, нат.ед.</t>
  </si>
  <si>
    <t>Расч ост на 01.10.25, нат.ед.</t>
  </si>
  <si>
    <t>Расч ост на 01.11.25, нат.ед.</t>
  </si>
  <si>
    <t>Расч ост на 01.12.25, нат.ед.</t>
  </si>
  <si>
    <t>Расч ост на 01.01.26, нат.ед.</t>
  </si>
  <si>
    <t>Расч ост на 01.02.26, нат.ед.</t>
  </si>
  <si>
    <t>Расч ост на 01.03.26, нат.ед.</t>
  </si>
  <si>
    <t>Расч ост на 01.04.26, нат.ед.</t>
  </si>
  <si>
    <t>Расч ост на 01.05.26, нат.ед.</t>
  </si>
  <si>
    <t>Расч ост на 01.06.26, нат.ед.</t>
  </si>
  <si>
    <t>Расч ост на 01.07.26, нат.ед.</t>
  </si>
  <si>
    <t>Расч ост на 01.08.26, нат.ед.</t>
  </si>
  <si>
    <t>Расч ост на 01.09.26, нат.ед.</t>
  </si>
  <si>
    <t>Расч ост на 01.10.26, нат.ед.</t>
  </si>
  <si>
    <t>Расч ост на 01.11.26, нат.ед.</t>
  </si>
  <si>
    <t>Расч ост на 01.12.26, нат.ед.</t>
  </si>
  <si>
    <t>Расч ост на 01.01.27, нат.ед.</t>
  </si>
  <si>
    <t>Расч ост на 01.02.27, нат.ед.</t>
  </si>
  <si>
    <t>Расч ост на 01.03.27, нат.ед.</t>
  </si>
  <si>
    <t>Расч ост на 01.04.27, нат.ед.</t>
  </si>
  <si>
    <t>Расч ост на 01.05.27, нат.ед.</t>
  </si>
  <si>
    <t>Расч ост на 01.06.27, нат.ед.</t>
  </si>
  <si>
    <t>продажи</t>
  </si>
  <si>
    <t>март</t>
  </si>
  <si>
    <t>Короба БХ</t>
  </si>
  <si>
    <t>янв</t>
  </si>
  <si>
    <t>февр</t>
  </si>
  <si>
    <t>апр</t>
  </si>
  <si>
    <t>июнь</t>
  </si>
  <si>
    <t>июль</t>
  </si>
  <si>
    <t>авг</t>
  </si>
  <si>
    <t>сент</t>
  </si>
  <si>
    <t>в рублях</t>
  </si>
  <si>
    <t>сс</t>
  </si>
  <si>
    <t>Код</t>
  </si>
  <si>
    <t>Артикул</t>
  </si>
  <si>
    <t>Отв-й</t>
  </si>
  <si>
    <t>Продукция</t>
  </si>
  <si>
    <t>Наименование номенклатуры</t>
  </si>
  <si>
    <t>Триггер</t>
  </si>
  <si>
    <t>Отв-й ОКП \ БМ БХ</t>
  </si>
  <si>
    <t>Вид н-туры</t>
  </si>
  <si>
    <t>Классификатор</t>
  </si>
  <si>
    <t>Категория</t>
  </si>
  <si>
    <t>Осн канал сбыта</t>
  </si>
  <si>
    <t>Группа присадок</t>
  </si>
  <si>
    <t>пр</t>
  </si>
  <si>
    <t>МИН, нат.ед.</t>
  </si>
  <si>
    <t>МАКС, нат.ед.</t>
  </si>
  <si>
    <t>Откл тек ост от мин макс</t>
  </si>
  <si>
    <t>Остаток, нат.ед.</t>
  </si>
  <si>
    <t>Остаток, руб.</t>
  </si>
  <si>
    <t>Остаток, рубли</t>
  </si>
  <si>
    <t>Остаток, паллет</t>
  </si>
  <si>
    <t>Текущ остаток, нат.ед.</t>
  </si>
  <si>
    <t>Текущ остаток, руб.</t>
  </si>
  <si>
    <t>Текущ остаток, паллет</t>
  </si>
  <si>
    <t>Текущ остаток, тонн нетто</t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</si>
  <si>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Ассорт-й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</si>
  <si>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</si>
  <si>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</t>
    </r>
    <r>
      <rPr>
        <sz val="11"/>
        <color theme="1"/>
        <rFont val="Calibri"/>
        <family val="2"/>
        <charset val="204"/>
        <scheme val="minor"/>
      </rPr>
      <t>.,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</si>
  <si>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СОХ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</si>
  <si>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Вирт склады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</si>
  <si>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руб.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</si>
  <si>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Блок.</t>
    </r>
    <r>
      <rPr>
        <sz val="11"/>
        <color theme="1"/>
        <rFont val="Calibri"/>
        <family val="2"/>
        <charset val="204"/>
        <scheme val="minor"/>
      </rPr>
      <t>, руб.</t>
    </r>
  </si>
  <si>
    <t>В заказах, нат.ед.</t>
  </si>
  <si>
    <t>Остаток за вычетом заказов, нат.ед.</t>
  </si>
  <si>
    <t>Остаток за вычетом заказов, руб.</t>
  </si>
  <si>
    <t>Оборот 1 мес., нат ед.</t>
  </si>
  <si>
    <t>Оборот 3 мес., нат ед.</t>
  </si>
  <si>
    <t>Оборот 6 мес., нат ед.</t>
  </si>
  <si>
    <t>План 6 мес., нат.ед.</t>
  </si>
  <si>
    <t>Об-сть тек остатка по ср.мес план обороту, дни</t>
  </si>
  <si>
    <t>Об-сть тек остатка по ср.мес план обороту</t>
  </si>
  <si>
    <t>Проблема по планам от марта (Да \ Нет) по номенкл.</t>
  </si>
  <si>
    <t>Уходимость (в мес.)</t>
  </si>
  <si>
    <t>Проблема по планам от мая (Да \ Нет) по номенкл.</t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</si>
  <si>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номенкл.</t>
    </r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</si>
  <si>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комплекту</t>
    </r>
  </si>
  <si>
    <t>Проблема по планам ДА, в рублях</t>
  </si>
  <si>
    <t>Проблема по данным отв-го, в рублях</t>
  </si>
  <si>
    <t>Признак компл.</t>
  </si>
  <si>
    <t>Действие</t>
  </si>
  <si>
    <t>Комментарий</t>
  </si>
  <si>
    <t>Дата сработки \ реализации</t>
  </si>
  <si>
    <t xml:space="preserve">Потери при вовлечении с удорожанием в другие продукты </t>
  </si>
  <si>
    <t>Количество на списание, нат.ед.</t>
  </si>
  <si>
    <t>Сумма на списание, руб.</t>
  </si>
  <si>
    <t>Количество на продажу, нат.ед.</t>
  </si>
  <si>
    <t>Сумма на  продажу, руб.</t>
  </si>
  <si>
    <t>Признак (расчета, сработки)</t>
  </si>
  <si>
    <t>Проблема</t>
  </si>
  <si>
    <t>П.Т. (план текущий месяц)</t>
  </si>
  <si>
    <t>П.Т. +1</t>
  </si>
  <si>
    <t>П.Т. +2</t>
  </si>
  <si>
    <t>П.Т. +3</t>
  </si>
  <si>
    <t>П.Т. +4</t>
  </si>
  <si>
    <t>П.Т. +5</t>
  </si>
  <si>
    <t>Ср.мес. расход, нат.ед.</t>
  </si>
  <si>
    <t>Расч ост на 01.05.25, нат.ед.</t>
  </si>
  <si>
    <t>Расч ост на 01.06.25, нат.ед.</t>
  </si>
  <si>
    <t>Ф.Т. -5</t>
  </si>
  <si>
    <t>Ф.Т. -4</t>
  </si>
  <si>
    <t>Ф.Т. -3</t>
  </si>
  <si>
    <t>Ф.Т. -2</t>
  </si>
  <si>
    <t>Ф.Т. -1</t>
  </si>
  <si>
    <t>Ф.Т. (факт текущий месяц)</t>
  </si>
  <si>
    <t>Сырье АхАК \ БХ</t>
  </si>
  <si>
    <t>Сработка (мес.)</t>
  </si>
  <si>
    <t>План шт</t>
  </si>
  <si>
    <t>Факт шт</t>
  </si>
  <si>
    <t>Пл_Ф</t>
  </si>
  <si>
    <t>План руб.</t>
  </si>
  <si>
    <t>Факт руб.</t>
  </si>
  <si>
    <t>СиМ БХ</t>
  </si>
  <si>
    <t>Цель, дни</t>
  </si>
  <si>
    <t>Текущ ост склады, нат.ед.</t>
  </si>
  <si>
    <t>Текущ ост склады, паллет</t>
  </si>
  <si>
    <t>СднОст, нат.ед.</t>
  </si>
  <si>
    <t>СднОст, руб</t>
  </si>
  <si>
    <t>СднОст, паллет</t>
  </si>
  <si>
    <t>Оборот, нат.ед.</t>
  </si>
  <si>
    <t>Оборот, руб.</t>
  </si>
  <si>
    <t>Расч остаток, нат.ед.</t>
  </si>
  <si>
    <t>Расч остаток, руб.</t>
  </si>
  <si>
    <t>Расч остаток, паллет</t>
  </si>
  <si>
    <t>Критерий</t>
  </si>
  <si>
    <t>Действие (для брака)</t>
  </si>
  <si>
    <t>Коэф. на поддоне</t>
  </si>
  <si>
    <t>Коэф. по типу</t>
  </si>
  <si>
    <t>Отв-й изменился</t>
  </si>
  <si>
    <t>Коммент</t>
  </si>
  <si>
    <t>Дата</t>
  </si>
  <si>
    <t>Потери</t>
  </si>
  <si>
    <t>Списание</t>
  </si>
  <si>
    <t>Признак</t>
  </si>
  <si>
    <t>Налив \ не налив</t>
  </si>
  <si>
    <t>Заполнено</t>
  </si>
  <si>
    <t>Мусифуллин</t>
  </si>
  <si>
    <t>Охлаждающие жидкости</t>
  </si>
  <si>
    <t>B2C</t>
  </si>
  <si>
    <t>Нет</t>
  </si>
  <si>
    <t>0-01</t>
  </si>
  <si>
    <t/>
  </si>
  <si>
    <t>Сырье и комплектация</t>
  </si>
  <si>
    <t>Этикетки, стикеры, наклейки</t>
  </si>
  <si>
    <t>0-02</t>
  </si>
  <si>
    <t>нет остатка</t>
  </si>
  <si>
    <t>6 мес.</t>
  </si>
  <si>
    <t>Массовая</t>
  </si>
  <si>
    <t>B2B</t>
  </si>
  <si>
    <t>Да</t>
  </si>
  <si>
    <t>сработка</t>
  </si>
  <si>
    <t>0-04</t>
  </si>
  <si>
    <t>0-03</t>
  </si>
  <si>
    <t>Бытовая химия</t>
  </si>
  <si>
    <t>Нет планов</t>
  </si>
  <si>
    <t>продажа</t>
  </si>
  <si>
    <t>Временный вывод</t>
  </si>
  <si>
    <t>неск-ко</t>
  </si>
  <si>
    <t>Масла</t>
  </si>
  <si>
    <t>0-07</t>
  </si>
  <si>
    <t>0-11</t>
  </si>
  <si>
    <t>Эксклюзив</t>
  </si>
  <si>
    <t>Бочки Масла</t>
  </si>
  <si>
    <t>0-08</t>
  </si>
  <si>
    <t>0-09</t>
  </si>
  <si>
    <t>Rolf масла</t>
  </si>
  <si>
    <t>0-13</t>
  </si>
  <si>
    <t>G-S52-195-M9</t>
  </si>
  <si>
    <t>Азаренков</t>
  </si>
  <si>
    <t>AGR LongLife III 5w30 205л ( металл )</t>
  </si>
  <si>
    <t>Заказная</t>
  </si>
  <si>
    <t>СТО</t>
  </si>
  <si>
    <t>0-05</t>
  </si>
  <si>
    <t>0-06</t>
  </si>
  <si>
    <t>согласно плану АГР по выкупаку</t>
  </si>
  <si>
    <t>Этикетка AGR 5W-30 C3 SN 205л (металл) арт.G-S52-195-M9</t>
  </si>
  <si>
    <t>0-25 более 24</t>
  </si>
  <si>
    <t>частичная утилизация</t>
  </si>
  <si>
    <t xml:space="preserve">утилизация из зоны брака, остальное согласно плану АГР </t>
  </si>
  <si>
    <t>утилизация брака СОГЛ. - 25.05.</t>
  </si>
  <si>
    <t>Ассортиментная</t>
  </si>
  <si>
    <t>Полуфабрикат</t>
  </si>
  <si>
    <t>Жестяная тара</t>
  </si>
  <si>
    <t>Продукция ЖБ</t>
  </si>
  <si>
    <t>Мехтиева</t>
  </si>
  <si>
    <t>0-10</t>
  </si>
  <si>
    <t>Архив</t>
  </si>
  <si>
    <t>0-16</t>
  </si>
  <si>
    <t>0-12</t>
  </si>
  <si>
    <t>списание из зоны брака, остальное сработка по плану</t>
  </si>
  <si>
    <t>Rolf Professional 0W-30 A3/B4 208л (металл)</t>
  </si>
  <si>
    <t>Запустили мотивационную программу для дилеров. Выкуп будет в течение 6 мес</t>
  </si>
  <si>
    <t>Этикетка Rolf Professional 0W-30 A3-B4 208л (металл) арт.323126 BMW Longlife-01</t>
  </si>
  <si>
    <t>Новинка</t>
  </si>
  <si>
    <t>Бочки Антифризы</t>
  </si>
  <si>
    <t>0-14</t>
  </si>
  <si>
    <t>OMODA5W30200</t>
  </si>
  <si>
    <t>Omoda 5W-30 GF-6 SP-RC 200л (металл)</t>
  </si>
  <si>
    <t>Объемы потребления увеличиваются с каждым месяцем</t>
  </si>
  <si>
    <t>Этикетка Omoda 5W-30 GF-6 SP-RC 200л (металл)</t>
  </si>
  <si>
    <t>Созонов</t>
  </si>
  <si>
    <t>Стеклоомывающие жидкости</t>
  </si>
  <si>
    <t>на согласовании от 06.25</t>
  </si>
  <si>
    <t>0-19</t>
  </si>
  <si>
    <t>G-S55-167-M9</t>
  </si>
  <si>
    <t>AGR Special C 0w30 A3/B4 205л ( металл )</t>
  </si>
  <si>
    <t>У AGR на складе еще 100 тн продукции от Лукойла в этой вязкости, новых авто нет из-за этого продажи идут медленно. Срок сработки 8 месяцев</t>
  </si>
  <si>
    <t>Потери при хранение 144 000 руб. до 1.11</t>
  </si>
  <si>
    <t>Этикетка AGR 0W-30 A3-B4 SL-CF 205л (металл) арт.G-S55-167-M9</t>
  </si>
  <si>
    <t xml:space="preserve">Новинка текущего сезона. </t>
  </si>
  <si>
    <t>ТЖ Контрактники</t>
  </si>
  <si>
    <t>Тормозные жидкости</t>
  </si>
  <si>
    <t>Картуш</t>
  </si>
  <si>
    <t>Продукция ПМ</t>
  </si>
  <si>
    <t>0-17</t>
  </si>
  <si>
    <t>0-18</t>
  </si>
  <si>
    <t>Rolf Professional 5W-40 A3/B4 SP 208л (металл)</t>
  </si>
  <si>
    <t>Продукция продается пол плану выкупа от БМВ. Минимальный товарный запас на месяц</t>
  </si>
  <si>
    <t>Этикетка Rolf Professional 5W-40 A3-B4 SP 208л (металл) арт.322853 BMW Longlife-01</t>
  </si>
  <si>
    <t>утилизация брака. В 2024 году отгружено 328 тонн, 1633 шт. Регулярные отгрузки</t>
  </si>
  <si>
    <t>GS52577M4</t>
  </si>
  <si>
    <t>AGR LongLife IV 0w20 C5 4л</t>
  </si>
  <si>
    <t>AGR масла</t>
  </si>
  <si>
    <t>Произвели продукцию для отгрузки, отгрузка до конца марта в кол-ве 3 000 шт. Остальные 3000 шт будут проданы в течение 2-х месяцев</t>
  </si>
  <si>
    <t>Этикетка AGR LongLife IV 0w20 C5 4л арт.GS52577M4 об.</t>
  </si>
  <si>
    <t>Сработка по плану от АГР</t>
  </si>
  <si>
    <t>Этикетка AGR LongLife IV 0w20 C5 4л арт.GS52577M4 лиц.</t>
  </si>
  <si>
    <t>Наклейка AGR LongLife IV 0w20 C5 4л арт.GS52577M4</t>
  </si>
  <si>
    <t>G-S52-502-M9</t>
  </si>
  <si>
    <t>AGR Special G 5w40 A3/B4 205л ( металл )</t>
  </si>
  <si>
    <t>Продажа</t>
  </si>
  <si>
    <t>Продажа в АГР согласно плану выкупа</t>
  </si>
  <si>
    <t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</si>
  <si>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</si>
  <si>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>Продажа клиенту</t>
  </si>
  <si>
    <t>Флаконы</t>
  </si>
  <si>
    <t>(пусто)</t>
  </si>
  <si>
    <t>Тюрина</t>
  </si>
  <si>
    <t>GS55167M4</t>
  </si>
  <si>
    <t>AGR Special C 0w30 A3/B4 4л</t>
  </si>
  <si>
    <t>Потери при хранение 36 000 руб. до 1.11</t>
  </si>
  <si>
    <t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</si>
  <si>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</si>
  <si>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>6 (с марта)</t>
  </si>
  <si>
    <t>Этикетка AGR Special C 0w30 A3-B4 4л арт.GS55167M4 об.</t>
  </si>
  <si>
    <t>Наклейка AGR Special C 0w30 A3-B4 4л арт.GS55167M4</t>
  </si>
  <si>
    <t>Канистры</t>
  </si>
  <si>
    <t>0-15</t>
  </si>
  <si>
    <t>слили/переварили</t>
  </si>
  <si>
    <t>GS52195M4</t>
  </si>
  <si>
    <t>AGR LongLife III 5w30 4л</t>
  </si>
  <si>
    <t>По условиям контракта держим под них двухмесячный запас согласно их плану выкупа</t>
  </si>
  <si>
    <t>Этикетка AGR LongLife III 5w30 4л арт.GS52195M4 об.</t>
  </si>
  <si>
    <t xml:space="preserve">Спад продаж у АГР. </t>
  </si>
  <si>
    <t>Этикетка AGR LongLife III 5w30 4л арт.GS52195M4 лиц.</t>
  </si>
  <si>
    <t>Наклейка AGR LongLife III 5w30 4л арт.GS52195M4</t>
  </si>
  <si>
    <t>принять решение</t>
  </si>
  <si>
    <t>GS52502M4</t>
  </si>
  <si>
    <t>AGR Special G 5w40 A3/B4 4л</t>
  </si>
  <si>
    <t>Этикетка AGR Special G 5w40 A3-B4 4л арт.GS52502M4 лиц.</t>
  </si>
  <si>
    <t>Этикетка AGR Special G 5w40 A3-B4 4л арт.GS52502M4 об.</t>
  </si>
  <si>
    <t>Наклейка AGR Special G 5w40 A3-B4 4л арт.GS52502M4</t>
  </si>
  <si>
    <t>Sollers Antifreeze G12+ red concentrate 60л</t>
  </si>
  <si>
    <t>Увеличили продажи. Сейчас заказывают только 30-35 дилеров из 197 из-за нашей долгой логистики</t>
  </si>
  <si>
    <t>Потери при хранение 68 000 руб. до 1.11</t>
  </si>
  <si>
    <t>Бочка металлическая с логотипом Sollers 60л черная</t>
  </si>
  <si>
    <t>Бочки</t>
  </si>
  <si>
    <t xml:space="preserve">Планы по продукции будут в январе на 2025г., срабатываем по мере получения заказов. </t>
  </si>
  <si>
    <t>Rolf Professional 0W-30 C3 SP 208л (металл)</t>
  </si>
  <si>
    <t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</si>
  <si>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>Потери при хранение 24 500 руб. до 31.12</t>
  </si>
  <si>
    <t>Этикетка Rolf Professional 0W-30 C3 SP 208л (металл) арт.322845 BMW Longlife-04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</si>
  <si>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</si>
  <si>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>Пробки</t>
  </si>
  <si>
    <t>Бочки Стеклоомыватели</t>
  </si>
  <si>
    <t>GS52577M2</t>
  </si>
  <si>
    <t>AGR LongLife IV 0w20 C5 1л</t>
  </si>
  <si>
    <t>Отгрузка в марте 2400 шт. Остальное будет продано в течение 2-месяцев</t>
  </si>
  <si>
    <t>Наклейка AGR LongLife IV 0w20 C5 1л арт.GS52577M2</t>
  </si>
  <si>
    <t>Этикетка AGR LongLife IV 0w20 C5 1л арт.GS52577M2 лиц.</t>
  </si>
  <si>
    <t>Этикетка AGR LongLife IV 0w20 C5 1л арт.GS52577M2 об.</t>
  </si>
  <si>
    <t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</si>
  <si>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</si>
  <si>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>Этикетка Sintec Жидкость стеклоомывающая Арктика концентрат -78 200л (металл) арт.806325</t>
  </si>
  <si>
    <t>Sollers Antifreeze G12+ red concentrate 1л</t>
  </si>
  <si>
    <t>Sollers антифризы</t>
  </si>
  <si>
    <t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</si>
  <si>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>Потери при хранение 30 000 руб. до 1.09</t>
  </si>
  <si>
    <t>Этикетка Sollers Antifreeze G12+ red concentrate 1л лиц.</t>
  </si>
  <si>
    <t>Наклейка Sollers Antifreeze G12+ red concentrate 1л</t>
  </si>
  <si>
    <t>Этикетка Sollers Antifreeze G12+ red concentrate 1л об.</t>
  </si>
  <si>
    <t>Rolf Professional 5W-30 C3 SN MS 208л (металл)</t>
  </si>
  <si>
    <t>Продажа согласно плану от БМВ</t>
  </si>
  <si>
    <t>Этикетка Rolf Professional 5W-30 C3 SN MS 208л (металл) арт.322851 BMW Longlife-04</t>
  </si>
  <si>
    <t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</si>
  <si>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>Бочки Тормозные жидкости</t>
  </si>
  <si>
    <t>Sollers Antifreeze G12+ red concentrate 4л</t>
  </si>
  <si>
    <t>Этикетка Sollers Antifreeze G12+ red concentrate 4л лиц.</t>
  </si>
  <si>
    <t>Наклейка Sollers Antifreeze G12+ red concentrate 4л</t>
  </si>
  <si>
    <t>Этикетка Sollers Antifreeze G12+ red concentrate 4л об.</t>
  </si>
  <si>
    <t>OMODA5W301</t>
  </si>
  <si>
    <t>Omoda 5W-30 GF-6 SP-RC 1л</t>
  </si>
  <si>
    <t>Omoda масла</t>
  </si>
  <si>
    <t>Выкуп от Чери согласно плану</t>
  </si>
  <si>
    <t>Наклейка OMODA 5W-30, 1л</t>
  </si>
  <si>
    <t>Этикетка масло моторное Omoda SAE 5W-30 ILSAC GF-6 API SP 1л, об.</t>
  </si>
  <si>
    <t>Этикетка масло моторное Omoda SAE 5W-30 ILSAC GF-6 API SP 1л, лиц.</t>
  </si>
  <si>
    <t>Rolf Professional 0W-30 C3 SP 1л (металл)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</si>
  <si>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</si>
  <si>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>Потери при хранение 18 000 руб. до 1.12</t>
  </si>
  <si>
    <t>Банка жестяная с литографией Rolf Professional SAE 0W-30 ACEA C3 API SP 1л (CN)</t>
  </si>
  <si>
    <t xml:space="preserve">Продукт BMW </t>
  </si>
  <si>
    <t>Стикер Rolf Professional 0W-30 C3 SP 1л (металл) арт.667174 инф.</t>
  </si>
  <si>
    <t>в процессе получения допуска</t>
  </si>
  <si>
    <t>Наклейка Rolf Professional 0W-30 C3 SP 1л (металл) арт.667174</t>
  </si>
  <si>
    <t>привезли мин.партии этикеток. Ждем банки и допуск</t>
  </si>
  <si>
    <t>GS55167M2</t>
  </si>
  <si>
    <t>AGR Special C 0w30 A3/B4 1л</t>
  </si>
  <si>
    <t>Потери при хранение 24 500 руб. до 1.11</t>
  </si>
  <si>
    <t>Этикетка AGR Special C 0w30 A3-B4 1л арт.GS55167M2 лиц.</t>
  </si>
  <si>
    <t>Этикетка AGR Special C 0w30 A3-B4 1л арт.GS55167M2 об.</t>
  </si>
  <si>
    <t>Наклейка AGR Special C 0w30 A3-B4 1л арт.GS55167M2</t>
  </si>
  <si>
    <t>Акимов</t>
  </si>
  <si>
    <t>Лейка Ш-1 (13-01) натуральная упакованная</t>
  </si>
  <si>
    <t>лейка шла в Эд. Блю. Позиции выведены из оборота. Стоит вопрос по сработке/утилизации</t>
  </si>
  <si>
    <t>Алиев</t>
  </si>
  <si>
    <t>дробление</t>
  </si>
  <si>
    <t>Тара</t>
  </si>
  <si>
    <t>Rolf Professional 0W-30 A3/B4 1л (металл)</t>
  </si>
  <si>
    <t>Банка жестяная с литографией Rolf Professional SAE 0W-30 ACEA A3/B4 1л (CN)</t>
  </si>
  <si>
    <t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</si>
  <si>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>Стикер Rolf Professional 0W-30 A3-B4 1л (металл) арт.667184 инф.</t>
  </si>
  <si>
    <t>Наклейка Rolf Professional 0W-30 A3-B4 1л (металл) арт.667184</t>
  </si>
  <si>
    <t>GS52502M2</t>
  </si>
  <si>
    <t>AGR Special G 5w40 A3/B4 1л</t>
  </si>
  <si>
    <t>Выкуп Согласно плану</t>
  </si>
  <si>
    <t>Этикетка AGR Special G 5w40 A3-B4 1л арт.GS52502M2 лиц.</t>
  </si>
  <si>
    <t>Этикетка AGR Special G 5w40 A3-B4 1л арт.GS52502M2 об.</t>
  </si>
  <si>
    <t>Наклейка AGR Special G 5w40 A3-B4 1л арт.GS52502M2</t>
  </si>
  <si>
    <t>OMODA5W401</t>
  </si>
  <si>
    <t>Omoda 5W-40 A3/B4 SN/CF 1л</t>
  </si>
  <si>
    <t>Этикетка масло моторное Omoda SAE 5W-40 ACEA A3/B4 API SN/CF 1л, об.</t>
  </si>
  <si>
    <t>Этикетка масло моторное Omoda SAE 5W-40 ACEA A3/B4 API SN/CF 1л, лиц.</t>
  </si>
  <si>
    <t>Наклейка OMODA 5W-40, 1л</t>
  </si>
  <si>
    <t>GS52195M2</t>
  </si>
  <si>
    <t>AGR LongLife III 5w30 1л</t>
  </si>
  <si>
    <t>Этикетка AGR LongLife III 5w30 1л арт.GS52195M2 лиц.</t>
  </si>
  <si>
    <t>Этикетка AGR LongLife III 5w30 1л арт.GS52195M2 об.</t>
  </si>
  <si>
    <t>Наклейка AGR LongLife III 5w30 1л арт.GS52195M2</t>
  </si>
  <si>
    <t>OMODA0W204</t>
  </si>
  <si>
    <t>Omoda 0W-20 C5 SN 4л</t>
  </si>
  <si>
    <t>Этикетка масло моторное Omoda SAE 0W-20 ACEA C5 API SN 4л, об.</t>
  </si>
  <si>
    <t>Пришли новые машины Omoda C7, большая закупка в июле</t>
  </si>
  <si>
    <t>Этикетка масло моторное Omoda SAE 0W-20 ACEA C5 API SN 4л, лиц.</t>
  </si>
  <si>
    <t>Наклейка OMODA 0W-20, 4л</t>
  </si>
  <si>
    <t>OMODA5W304</t>
  </si>
  <si>
    <t>Omoda 5W-30 GF-6 SP-RC 4л</t>
  </si>
  <si>
    <t>Этикетка масло моторное Omoda SAE 5W-30 ILSAC GF-6 API SP 4л, лиц.</t>
  </si>
  <si>
    <t>Производство будет в июне</t>
  </si>
  <si>
    <t>Этикетка масло моторное Omoda SAE 5W-30 ILSAC GF-6 API SP 4л, об.</t>
  </si>
  <si>
    <t>Наклейка OMODA 5W-30, 4л</t>
  </si>
  <si>
    <t>слили</t>
  </si>
  <si>
    <t>OMODA0W201</t>
  </si>
  <si>
    <t>Omoda 0W-20 C5 SN 1л</t>
  </si>
  <si>
    <t>Этикетка масло моторное Omoda SAE 0W-20 ACEA C5 API SN 1л, об.</t>
  </si>
  <si>
    <t>Этикетка масло моторное Omoda SAE 0W-20 ACEA C5 API SN 1л, лиц.</t>
  </si>
  <si>
    <t>Наклейка OMODA 0W-20, 1л</t>
  </si>
  <si>
    <t xml:space="preserve"> утилизация</t>
  </si>
  <si>
    <t>G-S52-577-M9</t>
  </si>
  <si>
    <t>AGR LongLife IV 0w20 C5 205л ( металл )</t>
  </si>
  <si>
    <t>Этикетка AGR 0W-20 C5 SN plus 205л (металл) арт.G-S52-577-M9</t>
  </si>
  <si>
    <t xml:space="preserve">Утилизация брака, остальное сработка. Новинка текущего сезона. </t>
  </si>
  <si>
    <t>Rolf Professional 5W-30 C1 JLR 1л (металл)</t>
  </si>
  <si>
    <t>Банка жестяная I Rolf Professional SAE 5W-30 ACEA C1 JLR 1л</t>
  </si>
  <si>
    <t>Новый продукт, необходимо понять мин налив литрушек если будет совместный налив</t>
  </si>
  <si>
    <t>Жесть с литографией Rolf Professional SAE 5W-30 ACEA C1 JLR 1л</t>
  </si>
  <si>
    <t>Стикер Rolf Professional 5W-30 C1 JLR 1л (металл) арт.667177 инф.</t>
  </si>
  <si>
    <t>Наклейка Rolf Professional 5W-30 C1 JLR 1л (металл) арт.667177</t>
  </si>
  <si>
    <t>Rolf Professional 5W-30 C3 SN MS 1л (металл)</t>
  </si>
  <si>
    <t>Наклейка Rolf Professional 5W-30 C3 SN MS 1л (металл) арт.667180</t>
  </si>
  <si>
    <t>прорабатывается акция с BMW "1 литр в подарок"</t>
  </si>
  <si>
    <t>Стикер Rolf Professional 5W-30 C3 SN MS 1л (металл) арт.667180 инф.</t>
  </si>
  <si>
    <t>Rolf Professional 5W-40 A3/B4 SP 1л (металл)</t>
  </si>
  <si>
    <t>Наклейка Rolf Professional 5W-40 A3-B4 SP 1л (металл) арт.667182</t>
  </si>
  <si>
    <t>привезли мин.партии этикеток. Ждем банки</t>
  </si>
  <si>
    <t>Стикер Rolf Professional 5W-40 A3-B4 SP 1л (металл) арт.667182 инф.</t>
  </si>
  <si>
    <t>Sintec Antifreeze G12+ red concentrate 220кг (металл)</t>
  </si>
  <si>
    <t>Этикетка Sintec Antifreeze G12+ red concentrate 220кг (металл) арт.103048</t>
  </si>
  <si>
    <t>Продукт для АГР, ждем подтверждение на отгрузку от клиента</t>
  </si>
  <si>
    <t>Sintec Жидкость тормозная Super DOT-4 205л (металл)</t>
  </si>
  <si>
    <t>Sintec Жидкость тормозная Super DOT-4 205л</t>
  </si>
  <si>
    <t>Этикетка Sintec Жидкость тормозная Super DOT-4 205л арт.801909</t>
  </si>
  <si>
    <t>Производили по запросу АГР, оставить ждать следующую отгрузку, последняя была в августе</t>
  </si>
  <si>
    <t>без компл.</t>
  </si>
  <si>
    <t>Отсутствует триггера у исходного</t>
  </si>
  <si>
    <t>Chery Жидкость тормозная DOT-4 1л</t>
  </si>
  <si>
    <t>согласно плану выкупа, заказ на партию</t>
  </si>
  <si>
    <t>Этикетка Chery Жидкость тормозная DOT-4 1л  арт.17318823 об.</t>
  </si>
  <si>
    <t>Этикетка Chery Жидкость тормозная DOT-4 1л  арт.17318823 лиц.</t>
  </si>
  <si>
    <t>Наклейка Chery Жидкость тормозная DOT-4 1л арт.17318823</t>
  </si>
  <si>
    <t>OMODA0W20200</t>
  </si>
  <si>
    <t>Omoda 0W-20 C5 SN 200л (металл)</t>
  </si>
  <si>
    <t>согласно плану выкупа</t>
  </si>
  <si>
    <t>Этикетка Omoda 0W-20 C5 SN 200л (металл)</t>
  </si>
  <si>
    <t>Согласно плану Чери</t>
  </si>
  <si>
    <t>OMODA5W40200</t>
  </si>
  <si>
    <t>Omoda 5W-40 A3/B4 SN/CF 200л (металл)</t>
  </si>
  <si>
    <t>Этикетка Omoda 5W-40 A3/B4 SN/CF 200л (металл)</t>
  </si>
  <si>
    <t>OMODA5W404</t>
  </si>
  <si>
    <t>Omoda 5W-40 A3/B4 SN/CF 4л</t>
  </si>
  <si>
    <t>Этикетка масло моторное Omoda SAE 5W-40 ACEA A3/B4 API SN/CF 4л, лиц.</t>
  </si>
  <si>
    <t>Этикетка масло моторное Omoda SAE 5W-40 ACEA A3/B4 API SN/CF 4л, об.</t>
  </si>
  <si>
    <t>Наклейка OMODA 5W-40, 4л</t>
  </si>
  <si>
    <t>Omoda Жидкость тормозная DOT-4 1л</t>
  </si>
  <si>
    <t>Этикетка Omoda Жидкость тормозная DOT-4 1л арт.17333298 об.</t>
  </si>
  <si>
    <t>Этикетка Omoda Жидкость тормозная DOT-4 1л арт.17333298 лиц.</t>
  </si>
  <si>
    <t>Наклейка Omoda Жидкость тормозная DOT-4 1л арт.17333298</t>
  </si>
  <si>
    <t>K0425Y205LP</t>
  </si>
  <si>
    <t>Жидкость для бесступенчатой трансмиссии CVT Fluid торговой марки Symmetric 4 parts 205л</t>
  </si>
  <si>
    <t>Бочка металлическая 1/0,9/1 с двумя пробками с логотипом Subaru 205л</t>
  </si>
  <si>
    <t>Некорретный артикул на этикетки, брак</t>
  </si>
  <si>
    <t>Этикетка Жидкость для бесступенчатой трансмиссии CVT Fluid торговой марки Symmetric 4 parts 205л арт.K0425Y205LP</t>
  </si>
  <si>
    <t>K0425Y020LP</t>
  </si>
  <si>
    <t>Жидкость для бесступенчатой трансмиссии CVT Fluid торговой марки Symmetric 4 parts 20л</t>
  </si>
  <si>
    <t>Symmetric масла</t>
  </si>
  <si>
    <t>Ведро металлическое 20л синее</t>
  </si>
  <si>
    <t>Банки и бутылки</t>
  </si>
  <si>
    <t>потребность на 1 заказ</t>
  </si>
  <si>
    <t>Крышка-корона металлическая для ведра 20л 286мм с пластиковым дозатором синяя</t>
  </si>
  <si>
    <t>Этикетка Жидкость для бесступенчатой трансмиссии CVT Fluid торговой марки Symmetric 4 parts 20л арт.K0425Y020LP</t>
  </si>
  <si>
    <t>Масла наливом</t>
  </si>
  <si>
    <t>Масла базовые</t>
  </si>
  <si>
    <t>Прочее сырье</t>
  </si>
  <si>
    <t>Присадки для масла</t>
  </si>
  <si>
    <t>Присадки</t>
  </si>
  <si>
    <t>Красители</t>
  </si>
  <si>
    <t>Поддоны</t>
  </si>
  <si>
    <t>Упаковка</t>
  </si>
  <si>
    <t>по факт обороту</t>
  </si>
  <si>
    <t>Ежова</t>
  </si>
  <si>
    <t>Тара б/у</t>
  </si>
  <si>
    <t>1 мес.</t>
  </si>
  <si>
    <t>искл (продажа)</t>
  </si>
  <si>
    <t>да</t>
  </si>
  <si>
    <t>Неликвиды б/у</t>
  </si>
  <si>
    <t>Грачев</t>
  </si>
  <si>
    <t>Присадка Дисульфид молибдена марки ДМИ-7 (CN)</t>
  </si>
  <si>
    <t>Присадки для смазок</t>
  </si>
  <si>
    <t>Присадка Гидроксид лития марки ЛГО-3 57% (Halmek)</t>
  </si>
  <si>
    <t>без компл. - проверка</t>
  </si>
  <si>
    <t>Гофрокороба и гофроподдоны</t>
  </si>
  <si>
    <t>Гофрокороба, картон</t>
  </si>
  <si>
    <t>2 мес.</t>
  </si>
  <si>
    <t>Контейнер (23-01) К-2 светло-зеленый</t>
  </si>
  <si>
    <t>Контейнеры</t>
  </si>
  <si>
    <t>Канистра Штабель (22-01) Ш-1 20л черная</t>
  </si>
  <si>
    <t xml:space="preserve">Используется для ОКП и Волги-Ойл и МО, сработка по плану </t>
  </si>
  <si>
    <t>Присадка 12-гидроксистеариновая кислота (Amee Castor&amp;Derivatives Ltd, India)</t>
  </si>
  <si>
    <t>Присадка Комплексное алюминиевое мыло (Индия, Anan Drug&amp;Chem Ltd)</t>
  </si>
  <si>
    <t xml:space="preserve">Идет Разработка/доработка  рецептур. </t>
  </si>
  <si>
    <t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</si>
  <si>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</si>
  <si>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>Флакон (23-01) Ф-1 1,95л светло-зеленый</t>
  </si>
  <si>
    <t>Полиэтилен HD12500 LH (Сибур)</t>
  </si>
  <si>
    <t>полиэтилен</t>
  </si>
  <si>
    <t>Сырье для ПМ</t>
  </si>
  <si>
    <t xml:space="preserve">Аналог ПНД 273 используется для выдува тары, экспериментальный, сработка только на 1 пл. </t>
  </si>
  <si>
    <t>Крышка К-2 (23-01) светло-зеленая</t>
  </si>
  <si>
    <t>Пленка</t>
  </si>
  <si>
    <t>Присадка Calcium Sulfonate CH-601 (CN)</t>
  </si>
  <si>
    <t xml:space="preserve">Закупали для CaSX смазок. Не работает в РЦ. 
Проверить вовлечение в лаб. условиях 30.06.2025 г. </t>
  </si>
  <si>
    <t>Канистра Штабель (12-02) А-2 10л синяя с логотипом AdBlue</t>
  </si>
  <si>
    <t>Флакон (22-01) Ф-1 1,3л светло-зеленый</t>
  </si>
  <si>
    <t>Канистра Federal Mogul (без полосы) (13-01) Б-2 0,5л черная</t>
  </si>
  <si>
    <t>Присадка Себациновая кислота (гранулы) (Хенгшуи Джигхуа Кемикал Co.,Ltd)</t>
  </si>
  <si>
    <t>Пакет присадок Eurotec A2049</t>
  </si>
  <si>
    <t>присадка для ROLF CVTF, не начинают продажи
продукты подготовлены к запуску, начало продаж в апреле</t>
  </si>
  <si>
    <t>Преформа ПЭТ 28/410 34,5г прозрачная</t>
  </si>
  <si>
    <t>ПЭТ-преформа</t>
  </si>
  <si>
    <t>Используется при выдуве флаконов ПЭТ</t>
  </si>
  <si>
    <t>Канистра Sintec (07-01) А-2 5л натуральная</t>
  </si>
  <si>
    <t>Канистра Federal Mogul (13-01) Б-2 1л черная</t>
  </si>
  <si>
    <t>Флакон (24-01) Ф-4 0,55л фиолетовый</t>
  </si>
  <si>
    <t>Канистра Штабель (22-01) Б-2 5л светло-зеленая</t>
  </si>
  <si>
    <t>Бутылка ПЭТ (21-01) Ф-2 0,5л прозрачная</t>
  </si>
  <si>
    <t>Полипропилен PP I802 IM/5 (Сибур)</t>
  </si>
  <si>
    <t>расход примерно 20 тонн ежемесячно , используется для изготовления контейнера</t>
  </si>
  <si>
    <t>Канистра Штабель (12-02) А-2 10л натуральная</t>
  </si>
  <si>
    <t>Канистра Штабель (12-02) А-2 10л серо-серебристая</t>
  </si>
  <si>
    <t>Канистра Северный стандарт (10-01) Б-2 4,1л натуральная</t>
  </si>
  <si>
    <t>Канистра BP (09-01) Б-2 4л натуральная</t>
  </si>
  <si>
    <t>Дробленка (ПНД 273) белая</t>
  </si>
  <si>
    <t>Дробленка</t>
  </si>
  <si>
    <t xml:space="preserve">Используется при изготовлении готовой продукции (постоянно) Сработка зависит по плану производства. </t>
  </si>
  <si>
    <t>Присадка Fluoromic марки F-4D MP (Axenter)</t>
  </si>
  <si>
    <t>Сработка в сезон февраль-апрель</t>
  </si>
  <si>
    <t>Пакет присадок Eurotec T6341</t>
  </si>
  <si>
    <t>Гофрокартон 800*1200мм П-31 BE бурый</t>
  </si>
  <si>
    <t>Картон</t>
  </si>
  <si>
    <t>использовали в период дефицита гофролотков, ранее использовали при упаковке крышки</t>
  </si>
  <si>
    <t>Пробка Б-2 (20-01) черная с запайкой 38мм без логотипа</t>
  </si>
  <si>
    <t>Канистра Federal Mogul (13-01) Б-2 0,5л серо-серебристая</t>
  </si>
  <si>
    <t>Дробленка (ПНД 273) стальная Лукойл</t>
  </si>
  <si>
    <t>Дробленка (ПНД 273) золотая</t>
  </si>
  <si>
    <t>Пробка Б-2 (20-01) черная</t>
  </si>
  <si>
    <t>Крышка Ф-1 (22-01) фиолетовый перламутр</t>
  </si>
  <si>
    <t>Пленка п/эт 750*2350мм*70мкм прозрачная (вторичная)</t>
  </si>
  <si>
    <t>Используем в качестве шапочек при упаковке поддонов</t>
  </si>
  <si>
    <t>Дробленка (ПНД 273) натуральная</t>
  </si>
  <si>
    <t>Канистра BP (09-01) Б-2 4л стальная</t>
  </si>
  <si>
    <t>Дробленка (ПНД 273) светло-зеленая</t>
  </si>
  <si>
    <t>Канистра Северный стандарт (10-01) Б-2 4,1л белая</t>
  </si>
  <si>
    <t>Полипропилен PP T192 IM/5 (Сибур)</t>
  </si>
  <si>
    <t>Полипропилен</t>
  </si>
  <si>
    <t>Пробка Б-2 (20-01) красная с запайкой 38мм без логотипа</t>
  </si>
  <si>
    <t>Бочка металлическая 1/0,9/1 с логотипом AGR 216л серая</t>
  </si>
  <si>
    <t>Продажа всего остатка</t>
  </si>
  <si>
    <t>Канистра BP (09-01) Б-2 4л белая</t>
  </si>
  <si>
    <t>Присадка Фторопласт-4 марки ПН (Вендор)</t>
  </si>
  <si>
    <t>Сработка до 10.24</t>
  </si>
  <si>
    <t>Красители для тосола и омывателя</t>
  </si>
  <si>
    <t>Присадка AR106D</t>
  </si>
  <si>
    <t>Флакон (23-01) Ф-1 1л светло-зеленый</t>
  </si>
  <si>
    <t>Полиэтилен ПНД 277-73 (Лукойл)</t>
  </si>
  <si>
    <t>Вовлекаем в крышки картуша для клиента интесмо. Прорабатываем вопрос закупки новой пресс-формы с увеличенной толщиной стенки крышки.</t>
  </si>
  <si>
    <t>Дробленка (ПНД 273) черная</t>
  </si>
  <si>
    <t>Изолон 46,8мм белый</t>
  </si>
  <si>
    <t>нет на остатках в цехе ППТ, не используем</t>
  </si>
  <si>
    <t>Бутылка ПЭТ (23-01) Ф-2 0,9л прозрачная</t>
  </si>
  <si>
    <t>Пробка Б-2 (20-01) красная</t>
  </si>
  <si>
    <t>Пробка Б-2 (20-01) голубая</t>
  </si>
  <si>
    <t>Гофрокартон 800*1200мм Т-23 B бурый</t>
  </si>
  <si>
    <t>818 шт на остатке, используем при упаковке крышек контейнеров</t>
  </si>
  <si>
    <t>Изолон кольцевой 55,7*44,2мм белый</t>
  </si>
  <si>
    <t>Канистра Штабель (22-01) Ш-1 20л красная</t>
  </si>
  <si>
    <t>Картон сотовый 1200*800мм 12/10 175К бурый</t>
  </si>
  <si>
    <t>На остатках в цехе нет, не используем</t>
  </si>
  <si>
    <t>Пробка Б-2 (20-01) стальная</t>
  </si>
  <si>
    <t>Бочка металлическая 1А1 0,6*0,6*0,6мм с логотипом Rolf Motorrad 60л синяя</t>
  </si>
  <si>
    <t>Продажа за сезон, согласно планам автопроизводителя</t>
  </si>
  <si>
    <t>Гофролоток универсальный 1180*777*100мм Т-24 B бурый</t>
  </si>
  <si>
    <t>Лоток под упаковку пустой тары, используем на минимум 4 оборота</t>
  </si>
  <si>
    <t>Присадка Гидроокись кальция техническая 98% (Ленреактив)</t>
  </si>
  <si>
    <t>Канистра BP (10-01) Б-2 1л стальная</t>
  </si>
  <si>
    <t>Изолон 38,5мм белый</t>
  </si>
  <si>
    <t>Использовали при запуске инсертора</t>
  </si>
  <si>
    <t>Пробка Ш-1 (14-01) синяя</t>
  </si>
  <si>
    <t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</si>
  <si>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</si>
  <si>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>Гофрокороб универсальный 570*380*370мм для полуфабрикатов Т-23 B бурый</t>
  </si>
  <si>
    <t>Используем для упаковки крышек</t>
  </si>
  <si>
    <t>Красители для масла</t>
  </si>
  <si>
    <t>Присадка Polyurea Thickener марки РТ-С (Wuhan Wing Industry)</t>
  </si>
  <si>
    <t>Rolf РЦ разработана 29.05.25 ОПП с новой рецептурой.</t>
  </si>
  <si>
    <t>Пробка Ш-1 (14-01) натуральная</t>
  </si>
  <si>
    <t>Канистра Sintec (20-01) Б-2 1л стальная</t>
  </si>
  <si>
    <t>Идет в Омоду</t>
  </si>
  <si>
    <t>Присадка Polyurea Thickener марки РТ-А (Wuhan Wing Industry)</t>
  </si>
  <si>
    <t>Пробка Ш-1 (14-01) черная</t>
  </si>
  <si>
    <t>Дробленка (PP 1212) фиолетовый перламутр</t>
  </si>
  <si>
    <t>Образуется при промывке ТПА+брак, продаем так как ГК система</t>
  </si>
  <si>
    <t>Канистра Штабель (22-01) Б-2 5л натуральная</t>
  </si>
  <si>
    <t>Краситель красный C.I. Solvent Red 24 концентрат (Bridge Chem)</t>
  </si>
  <si>
    <t>Сработка за 2 месяца</t>
  </si>
  <si>
    <t>Канистра Северный стандарт (10-01) Б-2 3л натуральная</t>
  </si>
  <si>
    <t>Канистра BP (10-01) Б-2 1л белая</t>
  </si>
  <si>
    <t>Планы поданы, срок сработки 3 месяца</t>
  </si>
  <si>
    <t>Полиэтилен HDPE GC 7260 (Hostalen)</t>
  </si>
  <si>
    <t xml:space="preserve">Лаборатория использует для испытаний красителя при входном контроле.(2 тонны Резерв) </t>
  </si>
  <si>
    <t>вовлеч./резерв</t>
  </si>
  <si>
    <t>РЕЗЕРВ</t>
  </si>
  <si>
    <t>Краситель голубой марки Б (Пигмент)</t>
  </si>
  <si>
    <t>Присадка Polyurea Thickener марки РТ-В (Wuhan Wing Industry)</t>
  </si>
  <si>
    <t xml:space="preserve">для смазок МО РФ. Смазка для морской техники получение допуска </t>
  </si>
  <si>
    <t>Крышка К-1 (22-01) черная</t>
  </si>
  <si>
    <t>резерв</t>
  </si>
  <si>
    <t>Дробленка (ПНД 45552) красная</t>
  </si>
  <si>
    <t>Полиэтилен BL6200 (Узб)</t>
  </si>
  <si>
    <t xml:space="preserve">Неликвид. Не можем вовлекать, Карпиковой отправлен запрос на продажу. </t>
  </si>
  <si>
    <t>продажа + согл</t>
  </si>
  <si>
    <t>Дробленка (ПНД 45552) голубая</t>
  </si>
  <si>
    <t>Дробленка (PP 1212) белый перламутр</t>
  </si>
  <si>
    <t>Пробка Б-2 (20-01) зеленая</t>
  </si>
  <si>
    <t>Дробленка (ПНД 45552) черная</t>
  </si>
  <si>
    <t>Процессинговая добавка суперконцентрат PA 61 (Глобал Колорс)</t>
  </si>
  <si>
    <t>Красители для ЦП</t>
  </si>
  <si>
    <t>Процессинговая добавка</t>
  </si>
  <si>
    <t>есть план по вовлечению, в месяц примерно 10 тонны вовлекается, аналог процессинга 5618</t>
  </si>
  <si>
    <t>Крышка К-1 (22-01) серая</t>
  </si>
  <si>
    <t>Отходы полиэтилена (сметка)</t>
  </si>
  <si>
    <t>Отходы полиэтилена</t>
  </si>
  <si>
    <t>Отходы ПМ</t>
  </si>
  <si>
    <t>образуется при чистке фильтров на дробилках, грязный материал с пола</t>
  </si>
  <si>
    <t>Крышка Ф-1 (22-01) светло-зеленый перламутр</t>
  </si>
  <si>
    <t>Краситель зеленый 50-1803 суперконцентрат (Глобал Колорс)</t>
  </si>
  <si>
    <t>аналог Краситель светло-зеленый 1700897-E концентрат (Ampacet)</t>
  </si>
  <si>
    <t>Присадка PTFE YL-904 (ЕвроХим)</t>
  </si>
  <si>
    <t xml:space="preserve">Резерв. </t>
  </si>
  <si>
    <t>Дробленка (ПНД 273) зеленая</t>
  </si>
  <si>
    <t>Пробка Б-2 (20-01) белая с запайкой 38мм без логотипа</t>
  </si>
  <si>
    <t>Дробленка (ПНД 273) фиолетовая</t>
  </si>
  <si>
    <t>Компаунд П0030/03-ПЭ (БАРС-2)</t>
  </si>
  <si>
    <t>Используется при чистке оборудования, закупается сразу на 4-5 меясцев. 500 кг закупается раз в 3 месяца. 150-180 в месяц используется.</t>
  </si>
  <si>
    <t>Дробленка (ПНД 273) бронзовая</t>
  </si>
  <si>
    <t>Модификатор IP5901HP (Tosaf)</t>
  </si>
  <si>
    <t>Крышка Ф-1 (22-01) белый перламутр</t>
  </si>
  <si>
    <t>Краситель белый МЕ82945S суперконцентрат (Tosaf)</t>
  </si>
  <si>
    <t>аналог Краситель белый 270 концентрат (Глобал Колорс)</t>
  </si>
  <si>
    <t>Пробка Ш-1 (14-01) красная</t>
  </si>
  <si>
    <t>Пробка Б-2 (20-01) желтая</t>
  </si>
  <si>
    <t>Пробка Ш-1 (14-01) стальная</t>
  </si>
  <si>
    <t>Пробка Т-1 (22-01) белая</t>
  </si>
  <si>
    <t>Краситель белый PE-V7/2/1 (Европолимер-Трейдинг)</t>
  </si>
  <si>
    <t>Картон сотовый 1100*320мм (4*80мм) 12/10 175К бурый</t>
  </si>
  <si>
    <t>используется для прокладки тары 20л</t>
  </si>
  <si>
    <t>Дробленка (ПНД 273) серо-серебристая</t>
  </si>
  <si>
    <t>Гофрокороб 340*187*231мм Т-23 B на 8 вложений контейнера бурый</t>
  </si>
  <si>
    <t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</si>
  <si>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</si>
  <si>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>Дробленка (ПНД 45552) синяя</t>
  </si>
  <si>
    <t>Дробленка (ПНД 45552) стальная</t>
  </si>
  <si>
    <t>Дробленка (ПНД 273) серая Rolf</t>
  </si>
  <si>
    <t>Бочка металлическая с логотипом Omoda 200л</t>
  </si>
  <si>
    <t>Пробка А-2 (19-01) голубая с изолоном 46,8мм</t>
  </si>
  <si>
    <t>Пробка А-2 (19-01) голубая</t>
  </si>
  <si>
    <t>Пробка А-2 (19-01) черная</t>
  </si>
  <si>
    <t>Пробка Б-2 (20-01) золотая</t>
  </si>
  <si>
    <t>Дробленка (PP 1212) зеленая</t>
  </si>
  <si>
    <t>Преформа ПЭТ 28/410 44,5г прозрачная</t>
  </si>
  <si>
    <t>Крышка К-1 (22-01) белая</t>
  </si>
  <si>
    <t>Смесь (ПНД) серая Лукойл</t>
  </si>
  <si>
    <t>Смесь ПНД</t>
  </si>
  <si>
    <t>Крышка Ф-1 (22-01) розовый перламутр</t>
  </si>
  <si>
    <t>Смесь (ПНД) серо-серебристая</t>
  </si>
  <si>
    <t>Смесь (ПНД) натуральная</t>
  </si>
  <si>
    <t>Гофрокороб 410*240*290мм Т-23 B на 4 вложения 4л с логотипом Sintec бурый</t>
  </si>
  <si>
    <t>Смесь (ПНД) белая</t>
  </si>
  <si>
    <t>Пробка Б-2 (20-01) серая</t>
  </si>
  <si>
    <t>Пробка Т-1 (22-01) белая с изолоном 30,5мм</t>
  </si>
  <si>
    <t>Пробка А-2 (19-01) черная с запайкой 47мм без логотипа</t>
  </si>
  <si>
    <t>Пленка п/эт 1700*1250мм*65мкм прозрачная (вторичная)</t>
  </si>
  <si>
    <t>В период дефицита гофролотков использовали пакеты, проработаем продажу</t>
  </si>
  <si>
    <t>Пробка Ш-1 (14-01) зеленая</t>
  </si>
  <si>
    <t>Антиоксидант AO10LPE (Смарт Полимер)</t>
  </si>
  <si>
    <t>Неликвид вовлечен в производство , сработан под 0</t>
  </si>
  <si>
    <t>Пробка Б-2 (20-01) голубая с изолоном 38,5мм</t>
  </si>
  <si>
    <t>Пробка Ш-1 (14-01) синяя с изолоном 55,7*44,2мм</t>
  </si>
  <si>
    <t>Пробка А-2 (19-01) зеленая</t>
  </si>
  <si>
    <t>Присадка Кислота стеариновая техническая марки Т-3 (Chemical Materials LLC India)</t>
  </si>
  <si>
    <t>Входило в смазки Литол 24, для соответсвия ГОСТу убрали из рецептуры. Решим куда вовлечь после сентября.</t>
  </si>
  <si>
    <t>Дробленка (PP 1212) розовый перламутр</t>
  </si>
  <si>
    <t>Канистра Federal Mogul (13-01) Б-2 0,5л натуральная</t>
  </si>
  <si>
    <t>выдут для лаборатории, для образцов постепенная сработка</t>
  </si>
  <si>
    <t>Отходы полиэтилена (масляные)</t>
  </si>
  <si>
    <t>Образуется при настройке ЭВА , очищаем , вовлекаем в производство. При невозможности очистки, отправляем на продажу.</t>
  </si>
  <si>
    <t>Канистра Federal Mogul (13-01) Б-2 0,5л серая</t>
  </si>
  <si>
    <t>Пробка Б-2 (20-01) желтая с запайкой 38мм без логотипа</t>
  </si>
  <si>
    <t>Преформа ПЭТ 28/410 43,5г прозрачная</t>
  </si>
  <si>
    <t>использовали для флаконов 900 мл ЖМС на прозводство ПЭТ-флаконов</t>
  </si>
  <si>
    <t>Пробка Б-2 (20-01) красная с изолоном 38,5мм</t>
  </si>
  <si>
    <t>Лейка А-1 (13-01) натуральная упакованная</t>
  </si>
  <si>
    <t>не присоединена не к одному продукту. Найти ответсвенного. Была заложена вместе с продукцией AdBlue в канистре 10л, сейчас не используется</t>
  </si>
  <si>
    <t>Пробка А-2 (19-01) черная с изолоном 46,8мм</t>
  </si>
  <si>
    <t>Пробка А-2 (19-01) красная с запайкой 47мм без логотипа</t>
  </si>
  <si>
    <t>Канистра ТНК (09-01) Б-2 5л натуральная</t>
  </si>
  <si>
    <t>Пробка Б-2 (20-01) зеленая с изолоном 38,5мм</t>
  </si>
  <si>
    <t>Дробленка (ПНД 45552) зеленая</t>
  </si>
  <si>
    <t>Смесь (ПНД) светло-зеленая</t>
  </si>
  <si>
    <t>Пробка Ш-1 (14-01) красная с изолоном 55,7*44,2мм</t>
  </si>
  <si>
    <t>Преформа ПЭТ 28/410 39,5г прозрачная</t>
  </si>
  <si>
    <t>вовлечение в тару ЖМС 600 мл</t>
  </si>
  <si>
    <t>Пробка Ш-1 (14-01) желтая с изолоном 55,7*44,2мм</t>
  </si>
  <si>
    <t>Дробленка (ПНД 45552) золотая</t>
  </si>
  <si>
    <t>Дробленка (ПНД 45552) натуральная</t>
  </si>
  <si>
    <t>Дробленка (ПНД 45552) белая</t>
  </si>
  <si>
    <t>не было</t>
  </si>
  <si>
    <t>есть</t>
  </si>
  <si>
    <t>G  S12E050A2</t>
  </si>
  <si>
    <t>AGR Antifreeze G12++ violet -40 1л</t>
  </si>
  <si>
    <t xml:space="preserve"> AGR Антифризы</t>
  </si>
  <si>
    <t>планы поданы, остатки на 3 мец</t>
  </si>
  <si>
    <t>Наклейка AGR Antifreeze G12++ violet -40 1л арт.G  S12E050A2</t>
  </si>
  <si>
    <t>Наклейки</t>
  </si>
  <si>
    <t>планы поданы, остатки на 6 мец</t>
  </si>
  <si>
    <t>Пробка Б-2 (20-01) сиреневая с запайкой 38мм без логотипа</t>
  </si>
  <si>
    <t>Этикетка AGR Antifreeze G12++ violet -40 1л арт.G  S12E050A2 лиц.</t>
  </si>
  <si>
    <t>Этикетка ГП</t>
  </si>
  <si>
    <t>Этикетка AGR Antifreeze G12++ violet -40 1л арт.G  S12E050A2 об.</t>
  </si>
  <si>
    <t>B  S000750M3</t>
  </si>
  <si>
    <t>AGR Жидкость тормозная DOT-4 CLASS 6 1л</t>
  </si>
  <si>
    <t>Наклейка AGR Жидкость тормозная DOT-4 CLASS 6 1л арт.B  S000750M3</t>
  </si>
  <si>
    <t>Этикетка AGR Жидкость тормозная DOT-4 CLASS 6 1л арт.B  S000750M3 лиц.</t>
  </si>
  <si>
    <t>Этикетка AGR Жидкость тормозная DOT-4 CLASS 6 1л арт.B  S000750M3 об.</t>
  </si>
  <si>
    <t>Стеклоомыватель Sintec Арктика -30 С  205л</t>
  </si>
  <si>
    <t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</si>
  <si>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>Этикетка Sintec Стеклоомыватель "Арктика" -30 (216,5л)</t>
  </si>
  <si>
    <t>с учетом планов от АЗМ и Автотор, сработка этикеток планируется до марта 2026г.</t>
  </si>
  <si>
    <t>нет</t>
  </si>
  <si>
    <t>Дробленка (ПНД 45552) бронзовая</t>
  </si>
  <si>
    <t>Дробленка (PP 1212) светло-зеленый перламутр</t>
  </si>
  <si>
    <t>Пробка Т-2 (22-01) белая</t>
  </si>
  <si>
    <t>Полимерные материалы, вещества и смеси</t>
  </si>
  <si>
    <t>Краситель синий МЕ603222A суперконцентрат (Tosaf)</t>
  </si>
  <si>
    <t xml:space="preserve">под ОКП краситель, сработка по потребности </t>
  </si>
  <si>
    <t>Дробленка (ПНД 12500 LH) золотая</t>
  </si>
  <si>
    <t>Гофролоток универсальный 1180*777*100мм под комплектующими Т-24 B бурый (б/у)</t>
  </si>
  <si>
    <t xml:space="preserve">используем на 3-4 оборота </t>
  </si>
  <si>
    <t>Гофролоток универсальный 1180*777*150мм под комплектующими Т-24 B бурый (б/у)</t>
  </si>
  <si>
    <t>Полиэтилен HD15550 CC (Сибур)</t>
  </si>
  <si>
    <t>образец для ОПП под крышки, тестирование до 09.25</t>
  </si>
  <si>
    <t>Процессинговая добавка AID 703 (Coraplast)</t>
  </si>
  <si>
    <t>Обечайка I с литографией Exeed Brake Fluid DOT-4 1л</t>
  </si>
  <si>
    <t>Обечайка I с литографией Jaecoo Brake Fluid DOT-4 1л</t>
  </si>
  <si>
    <t>Заготовка обечайки I с литографией Exeed Brake Fluid DOT-4 1л</t>
  </si>
  <si>
    <t>Заготовка обечайки I с литографией Jaecoo Brake Fluid DOT-4 1л</t>
  </si>
  <si>
    <t>Банка жестяная I Exeed Brake Fluid DOT-4 1л</t>
  </si>
  <si>
    <t>производство планируем на 30.06, сразу отгрузим всю партию</t>
  </si>
  <si>
    <t>Банка жестяная I Jaecoo Brake Fluid DOT-4 1л</t>
  </si>
  <si>
    <t>Гофрокороб универсальный 380*355*352мм для полуфабрикатов Т-23 B бурый</t>
  </si>
  <si>
    <t>Короб под крышку для капсул</t>
  </si>
  <si>
    <t>тех.нужды</t>
  </si>
  <si>
    <t>Краситель черный 190826-HА концентрат (Мастербатч СВ)</t>
  </si>
  <si>
    <t>Краситель для картуша</t>
  </si>
  <si>
    <t>Пробка А-2 (19-01) зеленая с запайкой 47мм без логотипа</t>
  </si>
  <si>
    <t>Дробленка (ПНД 45552) желтая</t>
  </si>
  <si>
    <t>Пробка Ш-1 (14-01) черная с изолоном 55,7*44,2мм</t>
  </si>
  <si>
    <t>Пробка Т-1 (22-01) голубая с изолоном 30,5мм</t>
  </si>
  <si>
    <t>Пробка Ш-1 (14-01) стальная с изолоном 55,7*44,2мм</t>
  </si>
  <si>
    <t>Канистра Federal Mogul (без полосы) (13-01) Б-2 0,5л серо-серебристая</t>
  </si>
  <si>
    <t>оставиили на отбор проб, остальное сдробили</t>
  </si>
  <si>
    <t>Канистра Штабель (12-01) А-1 10л фиолетовая</t>
  </si>
  <si>
    <t xml:space="preserve">идет на выведенные позиции со старым резьба знаком </t>
  </si>
  <si>
    <t>Пробка Б-2 (20-01) желтая с изолоном 38,5мм</t>
  </si>
  <si>
    <t>Пробка Б-2 (20-01) черная с изолоном 38,5мм</t>
  </si>
  <si>
    <t>Пробка Б-2 (20-01) сиреневая</t>
  </si>
  <si>
    <t>Пробка Б-2 (20-01) голубая с запайкой 38мм без логотипа</t>
  </si>
  <si>
    <t>Пробка Т-1 (22-01) черная</t>
  </si>
  <si>
    <t>Дробленка (ПНД 45552) фиолетовая</t>
  </si>
  <si>
    <t>Пробка Ш-1 (14-01) натуральная с изолоном 55,7*44,2мм</t>
  </si>
  <si>
    <t>Присадка Кислота уксусная пищевая 70% (ДХЗ-Производство)</t>
  </si>
  <si>
    <t>Смесь (PP 970) черная</t>
  </si>
  <si>
    <t>Пробка Б-2 (20-01) зеленая с запайкой 38мм без логотипа</t>
  </si>
  <si>
    <t>Пробка Т-2 (22-01) красная с изолоном 40,6мм</t>
  </si>
  <si>
    <t>Пробка Т-2 (22-01) красная</t>
  </si>
  <si>
    <t>Пробка Б-2 (20-01) серая с запайкой 38мм без логотипа</t>
  </si>
  <si>
    <t>Пробка Т-2 (22-01) зеленая с изолоном 40,6мм</t>
  </si>
  <si>
    <t>Смесь (ПНД) фиолетовая</t>
  </si>
  <si>
    <t>Пробка Т-1 (22-01) голубая</t>
  </si>
  <si>
    <t>Пробка Т-2 (22-01) черная с изолоном 40,6мм</t>
  </si>
  <si>
    <t>Поддон 1140*1140мм (ВИ)</t>
  </si>
  <si>
    <t>постоянно в обороте, идет в контейнеры, в продукт Полипром</t>
  </si>
  <si>
    <t>Смесь (ПНД) черная</t>
  </si>
  <si>
    <t>Поддон пластиковый 800*1200мм черный</t>
  </si>
  <si>
    <t xml:space="preserve">Используются постоянно в работе под ЖБ  </t>
  </si>
  <si>
    <t>Пробка А-2 (19-01) зеленая с изолоном 46,8мм</t>
  </si>
  <si>
    <t>Пробка А-2 (19-01) голубая с запайкой 47мм без логотипа</t>
  </si>
  <si>
    <t>Пробка Ш-1 (14-01) зеленая с изолоном 55,7*44,2мм</t>
  </si>
  <si>
    <t>Смесь (ПНД) золотая</t>
  </si>
  <si>
    <t>Канистра Штабель (12-01) А-1 10л белая</t>
  </si>
  <si>
    <t>Пробка А-2 (19-01) красная с изолоном 46,8мм</t>
  </si>
  <si>
    <t>Гофролоток универсальный 1180*777*150мм Т-24 B бурый (б/у)</t>
  </si>
  <si>
    <t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</si>
  <si>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>Смесь (ПНД) серебряная Takayama</t>
  </si>
  <si>
    <t>Пробка А-2 (19-01) сиреневая с запайкой 47мм без логотипа</t>
  </si>
  <si>
    <t>не присоединена не к одному продукту.</t>
  </si>
  <si>
    <t>Пробка Т-1 (22-01) красная с изолоном 30,5мм</t>
  </si>
  <si>
    <t>Смесь (ПНД) синяя AdBlue</t>
  </si>
  <si>
    <t>Пробка Т-1 (22-01) зеленая с изолоном 30,5мм</t>
  </si>
  <si>
    <t>Заготовка обечайки I с литографией Rolf Professional SAE 5W-30 ACEA C1 JLR 1л</t>
  </si>
  <si>
    <t>Дробленка (ПНД 273) синяя AdBlue</t>
  </si>
  <si>
    <t>Пробка А-1 (18-01) голубая</t>
  </si>
  <si>
    <t>Дробленка (ПНД 273) серебряная</t>
  </si>
  <si>
    <t>Флакон ПЭТ пресованный (б/у)</t>
  </si>
  <si>
    <t xml:space="preserve"> брак ПЭТ не вовлекаем, Карпикова продает</t>
  </si>
  <si>
    <t>Технологические потери картушей</t>
  </si>
  <si>
    <t>ТПА работает на чистом материале, Брак продает Карпикова</t>
  </si>
  <si>
    <t>Технологические потери полипропилена</t>
  </si>
  <si>
    <t>Промывочный брак и брак наладочный не вовлекаем, так как формы на ТПА горячеканальные , продает Карпикова</t>
  </si>
  <si>
    <t>Технологические потери ПЭТ</t>
  </si>
  <si>
    <t xml:space="preserve"> брак преформ не вовлекаем, Карпикова продает</t>
  </si>
  <si>
    <t>Краситель золотой ME940356E суперконцентрат (Tosaf)</t>
  </si>
  <si>
    <t>В постоянном обороте (канистра+пробка) Берем на смену поставщика Ampaset.</t>
  </si>
  <si>
    <t>Пробка Б-2 (20-01) белая</t>
  </si>
  <si>
    <t>Флакон Nobu (24-01) Ф-6 1л зеленый</t>
  </si>
  <si>
    <t>Присадка Экстракт остаточный селективной очистки марки ПН-6к (Роснефть) (давальческая)</t>
  </si>
  <si>
    <t>Этикетка Sollers Antifreeze G12+ red concentrate 60л</t>
  </si>
  <si>
    <t>Дробленка (ПНД 273) красная</t>
  </si>
  <si>
    <t>Смесь (ПНД) бронзовая</t>
  </si>
  <si>
    <t>Смесь (ПНД) зеленая</t>
  </si>
  <si>
    <t>Смесь (ПНД) красная</t>
  </si>
  <si>
    <t>Смесь (ПНД) оранжевая</t>
  </si>
  <si>
    <t>Смесь (ПНД) серая Rolf</t>
  </si>
  <si>
    <t>Смесь (ПНД) синий перламутр</t>
  </si>
  <si>
    <t>группа</t>
  </si>
  <si>
    <t>гр сумм</t>
  </si>
  <si>
    <t>гр</t>
  </si>
  <si>
    <t>Сырье для канистр</t>
  </si>
  <si>
    <t>Полиэтилен ПНД 273-83 (Буд)</t>
  </si>
  <si>
    <t>в постоянном обороте , потребность  около 1 100 тонн в месяц</t>
  </si>
  <si>
    <t>ZDDP(Mixed)</t>
  </si>
  <si>
    <t>с Жеребилова</t>
  </si>
  <si>
    <t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</si>
  <si>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</si>
  <si>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>Присадка UPR2204B</t>
  </si>
  <si>
    <t>сульфонатные присадки для смазок</t>
  </si>
  <si>
    <t>Присадка TRY400</t>
  </si>
  <si>
    <t>ожидает решения. Торосян напишет письмо по сработке</t>
  </si>
  <si>
    <t>Масло базовое DowSyn V1000</t>
  </si>
  <si>
    <t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</si>
  <si>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</si>
  <si>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>синтетическая редукторка</t>
  </si>
  <si>
    <t>Присадка Hitec 307</t>
  </si>
  <si>
    <t>проверка вовлечения прошла, можно вовлекать. 
Вовлекать можем вместо RF 4201 замена 1/1</t>
  </si>
  <si>
    <t>Масло полиальфаолефиновое базовое ТАИФ ПАО-6</t>
  </si>
  <si>
    <t>Масло базовое Gr.IV полиальфаолефиновое (PAO-6) (Taif)</t>
  </si>
  <si>
    <t>Закупили для смазок . Срабатываем по планам</t>
  </si>
  <si>
    <t>Сырье для пробок</t>
  </si>
  <si>
    <t>Полиэтилен HD 45552 IM (Сибур)</t>
  </si>
  <si>
    <t>в постоянном обороте, расход от 20 до 60 тонн</t>
  </si>
  <si>
    <t>Золото (пробка, канистра)</t>
  </si>
  <si>
    <t>Краситель золотой 1303198-RE концентрат (Ampacet)</t>
  </si>
  <si>
    <t>В постоянном обороте (канистра+пробка). Расход около 1т</t>
  </si>
  <si>
    <t>Добавка процессинговая</t>
  </si>
  <si>
    <t>Процессинговая добавка AP5645PE (Tosaf)</t>
  </si>
  <si>
    <t>Процессинговая добавка AP5618EP (Tosaf)</t>
  </si>
  <si>
    <t>есть план по вовлечению, в месяц примерно 10 тонны вовлекается</t>
  </si>
  <si>
    <t>Процессинговая добавка 104145-RB (Ampacet)</t>
  </si>
  <si>
    <t>Сработан под 0</t>
  </si>
  <si>
    <t>Добавка для канистр</t>
  </si>
  <si>
    <t>Полиэтилен ПВД 15813-020 (Каз)</t>
  </si>
  <si>
    <t>Полиэтилен ПВД 15803-020 (Каз)</t>
  </si>
  <si>
    <t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</si>
  <si>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>Сырье для крышек РР / картушей</t>
  </si>
  <si>
    <t>Полипропилен PP 1212 IM/5 (Сибур)</t>
  </si>
  <si>
    <t>в постоянном обороте, расход от 20 тонн</t>
  </si>
  <si>
    <t>Белый (канистра, пробка)</t>
  </si>
  <si>
    <t>Краситель белый 270 концентрат (Глобал Колорс)</t>
  </si>
  <si>
    <t xml:space="preserve"> расход в месяц  9000 кг. </t>
  </si>
  <si>
    <t>Светло-зеленый (канистра)</t>
  </si>
  <si>
    <t>Краситель светло-зеленый 1700897-E концентрат (Ampacet)</t>
  </si>
  <si>
    <t>Входит во флаконы Lamm Средство для стирки жидкое. Сработка в месяц по 3000 тонны</t>
  </si>
  <si>
    <t>Краситель бирюзовый ME570448A концентрат (Tosaf)</t>
  </si>
  <si>
    <t>Фиолетовая (канистра)</t>
  </si>
  <si>
    <t>Краситель фиолетовый ME48513P концентрат (Tosaf)</t>
  </si>
  <si>
    <t>идет в мультифриз, пробка такаяма, БХ, свежий приход от 07.24</t>
  </si>
  <si>
    <t>Стальной (пробка, канистра)</t>
  </si>
  <si>
    <t>Краситель стальной 18/608 концентрат (Гуалколорс)</t>
  </si>
  <si>
    <t>В постоянном обороте (канистра+пробка)</t>
  </si>
  <si>
    <t>Краситель серебряный ME955361 концентрат (Tosaf)</t>
  </si>
  <si>
    <t xml:space="preserve">Используется для выдува крышек под масла Синтек, Рольф. </t>
  </si>
  <si>
    <t>Полиизобутилены для смазок</t>
  </si>
  <si>
    <t>Присадка Polyisobutylene HRD-650 (Руспласт)</t>
  </si>
  <si>
    <t>Присадка Полиизобутилен марки SDG 8650 (Zhejiang Shunda New material)</t>
  </si>
  <si>
    <t>Серо-серебристый (пробка, канистра)</t>
  </si>
  <si>
    <t>Краситель серо-серебристый ME96412 концентрат (Tosaf)</t>
  </si>
  <si>
    <t>Бронзовый (пробка, канистра)</t>
  </si>
  <si>
    <t>Краситель золотой ME940290 концентрат (Tosaf)</t>
  </si>
  <si>
    <t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</si>
  <si>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>Краситель золотой 1302530-EE концентрат (Ampacet)</t>
  </si>
  <si>
    <t>Привезена 02.23. Невостребованная канистра, редко ставят в план производства.</t>
  </si>
  <si>
    <t>Красный (пробка)</t>
  </si>
  <si>
    <t>Краситель красный 1501867-E концентрат (Ampacet)</t>
  </si>
  <si>
    <t xml:space="preserve">Сработка примерно по 110 кг в месяц. </t>
  </si>
  <si>
    <t>Краситель красный ME408/1 концентрат (Никатор)</t>
  </si>
  <si>
    <t>Синий (пробка, канистра)</t>
  </si>
  <si>
    <t>Краситель синий ME615/2 концентрат (Никатор)</t>
  </si>
  <si>
    <t>Входит в производства канистры aDBlue и пробки, расход 1300 кг в месяц примерно</t>
  </si>
  <si>
    <t>Зеленый (канистра БХ)</t>
  </si>
  <si>
    <t>Краситель светло-зеленый 1704963-R концентрат (Ampacet)</t>
  </si>
  <si>
    <t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</si>
  <si>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>Серый (пробка, канистра)</t>
  </si>
  <si>
    <t>Краситель серебряный ME955359 суперконцентрат (Tosaf)</t>
  </si>
  <si>
    <t>в рольф и такаяма пластик, расход 70 кг в месяц</t>
  </si>
  <si>
    <t>Черный (пробка, канистра)</t>
  </si>
  <si>
    <t>Краситель черный 19/1044 концентрат (Гуалколорс)</t>
  </si>
  <si>
    <t>свежий приход 06.05.24, в месяц сработка по 1500 кг. В постоянном обороте (канистра+пробка)</t>
  </si>
  <si>
    <t>Краситель черный ГКТУ-4000-/Т (П) концентрат (Дако)</t>
  </si>
  <si>
    <t>Краситель для выдувной тары, используется по плану</t>
  </si>
  <si>
    <t>Красный (канистра)</t>
  </si>
  <si>
    <t>Краситель красный ME44444P концентрат (Tosaf)</t>
  </si>
  <si>
    <t>краситель для канистры ОКП  от 15 до 100 кг в месяц в зависимости от заказов на производство</t>
  </si>
  <si>
    <t>Полиизобутилены</t>
  </si>
  <si>
    <t>Присадка Полиизобутилен HRD-950 (Руспласт)</t>
  </si>
  <si>
    <t>ждем инфо от технологов по рецептуре, сработкка по готовности рецептуры</t>
  </si>
  <si>
    <t>Голубой (пробка)</t>
  </si>
  <si>
    <t>Краситель синий ME618 концентрат (Никатор)</t>
  </si>
  <si>
    <t>Входит в HausHerz Средство для мытья посуды в тару и пробку. Сработка в месяц 10-20 кг, мин. закупка 600 кг. Редко ставят в план производства</t>
  </si>
  <si>
    <t>Серебрянный (пробка, канистра)</t>
  </si>
  <si>
    <t>Краситель серебряный ME955042B концентрат (Tosaf)</t>
  </si>
  <si>
    <t>Относится только к продуктам ОКП. С Израиля мин. партия 500 кг. На хайгир вовлекаем.</t>
  </si>
  <si>
    <t>Белый (картуши)</t>
  </si>
  <si>
    <t>Краситель белый 111844 концентрат (Ampacet)</t>
  </si>
  <si>
    <t>Входит в картуши белые наши и ОКП. Небольшие заказы на производство</t>
  </si>
  <si>
    <t>Зеленый (пробка)</t>
  </si>
  <si>
    <t>Краситель зеленый ME55440R концентрат (Tosaf)</t>
  </si>
  <si>
    <t>по 80 кг в месяц используем для пробок</t>
  </si>
  <si>
    <t>Сиреневый (пробка)</t>
  </si>
  <si>
    <t>Краситель синий HP 5FB 5287 концентрат (Gabriel-Chemi)</t>
  </si>
  <si>
    <t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</si>
  <si>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>Сырье для крышек РР</t>
  </si>
  <si>
    <t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</si>
  <si>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</si>
  <si>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>Желтый (пробка)</t>
  </si>
  <si>
    <t>Краситель желтый 13633-MC концентрат (Ampacet)</t>
  </si>
  <si>
    <t>используется в пробки СОЖ/антифриз</t>
  </si>
  <si>
    <t>Серый (картуши)</t>
  </si>
  <si>
    <t>Краситель серый MP117 концентрат (Никатор)</t>
  </si>
  <si>
    <t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</si>
  <si>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>Оранжевый (пробка)</t>
  </si>
  <si>
    <t>Краситель оранжевый HP 3FA 0037 концентрат (Gabriel-Chemi)</t>
  </si>
  <si>
    <t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</si>
  <si>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>Розовый (пробка)</t>
  </si>
  <si>
    <t>Краситель розовый СК 105/1-Л-ПЭ концентрат (Мастер Колорс)</t>
  </si>
  <si>
    <t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</si>
  <si>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>Масло базовое Liksol 68 3H</t>
  </si>
  <si>
    <t>Масло базовое Gr.I 68 3H (Liksol)</t>
  </si>
  <si>
    <t>Масло базовое Liksol Chain Norm 150 H1</t>
  </si>
  <si>
    <t>Масло базовое Gr.I 150 H1 (Liksol)</t>
  </si>
  <si>
    <t>Масло базовое Liksol PAO 220 H1</t>
  </si>
  <si>
    <t>Масло базовое Gr.IV полиальфаолефиновое PAO 220 H1 (Liksol)</t>
  </si>
  <si>
    <t>Оранжевый (канистра)</t>
  </si>
  <si>
    <t>Краситель оранжевый ME300163 концентрат (Tosaf)</t>
  </si>
  <si>
    <t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</si>
  <si>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>Черный (картуши)</t>
  </si>
  <si>
    <t>Краситель черный 190826-R концентрат (Ampacet)</t>
  </si>
  <si>
    <t>Используется на постоянной основе для картуша и крышки картуша.</t>
  </si>
  <si>
    <t>Сырье для картушей</t>
  </si>
  <si>
    <t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</si>
  <si>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</si>
  <si>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>Масло базовое DowSyn V600</t>
  </si>
  <si>
    <t>Масло базовое Gr.IV полиальфаолефиновое DowSyn (V600) (Dowpol)</t>
  </si>
  <si>
    <t>Масло базовое Liksol 32 3H</t>
  </si>
  <si>
    <t>Масло базовое Gr.I 32 3H (Liksol)</t>
  </si>
  <si>
    <t>Масло базовое Liksol PAO 1000 H1</t>
  </si>
  <si>
    <t>Масло базовое Gr.IV полиальфаолефиновое PAO 1000 H1 (Liksol)</t>
  </si>
  <si>
    <t>Масло базовое Liksol PAO 460 H1</t>
  </si>
  <si>
    <t>Масло базовое Gr.IV полиальфаолефиновое PAO 460 H1 (Liksol)</t>
  </si>
  <si>
    <t>Масло базовое Liksol 15 3H</t>
  </si>
  <si>
    <t>Масло базовое Gr.I 15 3H (Liksol)</t>
  </si>
  <si>
    <t>Масло базовое Liksol 22 3H</t>
  </si>
  <si>
    <t>Масло базовое Gr.I 22 3H (Liksol)</t>
  </si>
  <si>
    <t>Масло базовое Liksol 46 3H</t>
  </si>
  <si>
    <t>Масло базовое Gr.I 46 3H (Liksol)</t>
  </si>
  <si>
    <t>Масло базовое Liksol PAO 100 H1</t>
  </si>
  <si>
    <t>Масло базовое Gr.IV полиальфаолефиновое PAO 100 H1 (Liksol)</t>
  </si>
  <si>
    <t>Масло базовое Liksol PAO 150 H1</t>
  </si>
  <si>
    <t>Масло базовое Gr.IV полиальфаолефиновое PAO 150 H1 (Liksol)</t>
  </si>
  <si>
    <t>Масло базовое Liksol PAO 320 H1</t>
  </si>
  <si>
    <t>Масло базовое Gr.IV полиальфаолефиновое PAO 320 H1 (Liksol)</t>
  </si>
  <si>
    <t>Масло базовое Liksol PAO 680 H1</t>
  </si>
  <si>
    <t>Масло базовое Gr.IV полиальфаолефиновое PAO 680 H1 (Liksol)</t>
  </si>
  <si>
    <t>Канистра Штабель (22-01) Б-2 5л зеленая</t>
  </si>
  <si>
    <t>Пробка А-1 (18-01) черная с изолоном 47,6мм</t>
  </si>
  <si>
    <t>Пробка Б-2 (20-01) сиреневая с изолоном 38,5мм</t>
  </si>
  <si>
    <t>Пробка Ш-1 (14-01) оранжевая с изолоном 55,7*44,2мм</t>
  </si>
  <si>
    <t>Пробка А-1 (18-01) черная</t>
  </si>
  <si>
    <t>Пробка Ш-1 (14-01) желтая</t>
  </si>
  <si>
    <t>Пробка Ш-1 (14-01) натуральная (ПНД 273)</t>
  </si>
  <si>
    <t>Пробка Ш-1 (14-01) оранжевая</t>
  </si>
  <si>
    <t>К0008</t>
  </si>
  <si>
    <t>К0034</t>
  </si>
  <si>
    <t>К0042</t>
  </si>
  <si>
    <t>К0074</t>
  </si>
  <si>
    <t>К0144</t>
  </si>
  <si>
    <t>К0147</t>
  </si>
  <si>
    <t>К0206</t>
  </si>
  <si>
    <t>К0294</t>
  </si>
  <si>
    <t>К0354</t>
  </si>
  <si>
    <t>К0393</t>
  </si>
  <si>
    <t>К0433</t>
  </si>
  <si>
    <t>К0447</t>
  </si>
  <si>
    <t>К0554</t>
  </si>
  <si>
    <t>К0556</t>
  </si>
  <si>
    <t>К0605</t>
  </si>
  <si>
    <t>К0615</t>
  </si>
  <si>
    <t>К0634</t>
  </si>
  <si>
    <t>К0704</t>
  </si>
  <si>
    <t>К0761</t>
  </si>
  <si>
    <t>К0773</t>
  </si>
  <si>
    <t>К0828</t>
  </si>
  <si>
    <t>К1041</t>
  </si>
  <si>
    <t>К1146</t>
  </si>
  <si>
    <t>К1188</t>
  </si>
  <si>
    <t>К1382</t>
  </si>
  <si>
    <t>К1517</t>
  </si>
  <si>
    <t>К1535</t>
  </si>
  <si>
    <t>К1643</t>
  </si>
  <si>
    <t>К1718</t>
  </si>
  <si>
    <t>К1845</t>
  </si>
  <si>
    <t>К1846</t>
  </si>
  <si>
    <t>К1847</t>
  </si>
  <si>
    <t>К1885</t>
  </si>
  <si>
    <t>К1953</t>
  </si>
  <si>
    <t>К2217</t>
  </si>
  <si>
    <t>К2298</t>
  </si>
  <si>
    <t>К2299</t>
  </si>
  <si>
    <t>К2300</t>
  </si>
  <si>
    <t>К2301</t>
  </si>
  <si>
    <t>К2467</t>
  </si>
  <si>
    <t>К2468</t>
  </si>
  <si>
    <t>ТЕСТ3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</si>
</sst>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/>
    <xf numFmtId="3" fontId="0" fillId="0" borderId="0" xfId="1" applyNumberFormat="1" applyFont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K502"/>
  <sheetViews>
    <sheetView tabSelected="1" zoomScale="70" zoomScaleNormal="70" workbookViewId="0">
      <pane xSplit="14" ySplit="6" topLeftCell="BD182" activePane="bottomRight" state="frozen"/>
      <selection activeCell="K19" sqref="K19"/>
      <selection pane="topRight" activeCell="K19" sqref="K19"/>
      <selection pane="bottomLeft" activeCell="K19" sqref="K19"/>
      <selection pane="bottomRight" activeCell="A383" sqref="A383"/>
    </sheetView>
  </sheetViews>
  <sheetFormatPr defaultRowHeight="15" outlineLevelRow="1" outlineLevelCol="3" x14ac:dyDescent="0.25"/>
  <cols>
    <col min="1" max="1" width="35.42578125" customWidth="1" outlineLevel="1"/>
    <col min="2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6427103780.4459066</v>
      </c>
      <c r="U4" s="37"/>
      <c r="V4" s="38" t="s">
        <v>14</v>
      </c>
      <c r="W4" s="39">
        <f>W2-W5</f>
        <v>6347802215.8450794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127615278.66999999</v>
      </c>
      <c r="DK4" s="47"/>
      <c r="DM4" s="47">
        <f>SUBTOTAL(9,DM7:DM502)</f>
        <v>18306203.371704917</v>
      </c>
      <c r="DO4" s="47">
        <f>SUBTOTAL(9,DO7:DO502)</f>
        <v>127555675.52</v>
      </c>
      <c r="DP4" s="47"/>
      <c r="DR4" s="47">
        <f>SUBTOTAL(9,DR7:DR502)</f>
        <v>17542460.395658437</v>
      </c>
      <c r="DT4" s="47">
        <f>SUBTOTAL(9,DT7:DT502)</f>
        <v>130533849.55100001</v>
      </c>
      <c r="DU4" s="47"/>
      <c r="DW4" s="47">
        <f>SUBTOTAL(9,DW7:DW502)</f>
        <v>31581260.049932554</v>
      </c>
      <c r="DY4" s="48">
        <f>SUBTOTAL(9,DY7:DY502)</f>
        <v>54045492.464399993</v>
      </c>
      <c r="DZ4" s="48">
        <f>SUBTOTAL(9,DZ7:DZ502)</f>
        <v>167</v>
      </c>
      <c r="EB4" s="48">
        <f>SUBTOTAL(9,EB7:EB502)</f>
        <v>50735105.479850002</v>
      </c>
      <c r="EC4" s="48">
        <f>SUBTOTAL(9,EC7:EC502)</f>
        <v>153.5</v>
      </c>
      <c r="EE4" s="48">
        <f>SUBTOTAL(9,EE7:EE502)</f>
        <v>61750560.475483328</v>
      </c>
      <c r="EF4" s="48">
        <f>SUBTOTAL(9,EF7:EF502)</f>
        <v>188.5</v>
      </c>
      <c r="EH4" s="48">
        <f>SUBTOTAL(9,EH7:EH502)</f>
        <v>58457335.652300008</v>
      </c>
      <c r="EI4" s="48">
        <f>SUBTOTAL(9,EI7:EI502)</f>
        <v>177</v>
      </c>
      <c r="EK4" s="48">
        <f>SUBTOTAL(9,EK7:EK502)</f>
        <v>57551707.411883339</v>
      </c>
      <c r="EL4" s="48">
        <f>SUBTOTAL(9,EL7:EL502)</f>
        <v>176.5</v>
      </c>
      <c r="EN4" s="48">
        <f>SUBTOTAL(9,EN7:EN502)</f>
        <v>55801620.047903344</v>
      </c>
      <c r="EO4" s="48">
        <f>SUBTOTAL(9,EO7:EO502)</f>
        <v>172.5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154032045.60172099</v>
      </c>
      <c r="S5" s="51">
        <f>SUBTOTAL(9,S7:S984940)</f>
        <v>345356.46015244722</v>
      </c>
      <c r="T5" s="23">
        <f>SUBTOTAL(9,T7:T984940)</f>
        <v>200591570.66887304</v>
      </c>
      <c r="U5" s="23">
        <f>SUBTOTAL(9,U7:U984940)</f>
        <v>275.5</v>
      </c>
      <c r="V5" s="24"/>
      <c r="W5" s="24">
        <f>SUBTOTAL(9,W7:W984940)</f>
        <v>142751580.08576337</v>
      </c>
      <c r="X5" s="24">
        <f>SUBTOTAL(9,X7:X984940)</f>
        <v>371.5</v>
      </c>
      <c r="Y5" s="24">
        <f>SUBTOTAL(9,Y7:Y984940)</f>
        <v>0</v>
      </c>
      <c r="Z5" s="22"/>
      <c r="AA5" s="7"/>
      <c r="AB5" s="31"/>
      <c r="AE5" s="52">
        <f>SUBTOTAL(9,AE7:AE984940)</f>
        <v>18517170</v>
      </c>
      <c r="AF5" s="52">
        <f>SUBTOTAL(9,AF7:AF984940)</f>
        <v>10966120</v>
      </c>
      <c r="AG5" s="53" t="s">
        <v>31</v>
      </c>
      <c r="AH5" s="22"/>
      <c r="AI5" s="54">
        <f>SUBTOTAL(9,AI7:AI984940)</f>
        <v>93910226.335180089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62255227.413417965</v>
      </c>
      <c r="AX5" s="13" t="s">
        <v>37</v>
      </c>
      <c r="AY5" s="60">
        <f>SUBTOTAL(9,AY7:AY984940)</f>
        <v>164005.6</v>
      </c>
      <c r="BA5" s="11" t="s">
        <v>38</v>
      </c>
      <c r="BE5" s="61" t="s">
        <v>39</v>
      </c>
      <c r="BF5" s="57">
        <f>SUBTOTAL(9,BF7:BF984940)</f>
        <v>0</v>
      </c>
      <c r="BG5" s="61" t="s">
        <v>39</v>
      </c>
      <c r="BH5" s="57">
        <f>SUBTOTAL(9,BH7:BH984940)</f>
        <v>0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hidden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3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45930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 t="shared" ref="FR7:FR70" si="57">EXACT(FK7,BA7)</f>
        <v>1</v>
      </c>
      <c r="FS7" s="104" t="b">
        <f t="shared" ref="FS7:FS70" si="58">EXACT(FL7,BB7)</f>
        <v>1</v>
      </c>
      <c r="FT7" s="104" t="b">
        <f t="shared" ref="FT7:FT70" si="59">EXACT(FM7,BC7)</f>
        <v>1</v>
      </c>
      <c r="FU7" s="104" t="b">
        <f t="shared" ref="FU7:FU70" si="60">EXACT(FN7,BD7)</f>
        <v>0</v>
      </c>
      <c r="FV7" s="104" t="b">
        <f t="shared" ref="FV7:FV70" si="61">EXACT(FO7,BE7)</f>
        <v>1</v>
      </c>
      <c r="FW7" s="104" t="b">
        <f>EXACT(FP7,BG7)</f>
        <v>0</v>
      </c>
      <c r="FX7" s="104" t="b">
        <f t="shared" ref="FX7:FX8" si="62">EXACT(FQ7,BI7)</f>
        <v>1</v>
      </c>
      <c r="FY7" s="104" t="s">
        <v>214</v>
      </c>
      <c r="FZ7" s="104" t="b">
        <f t="shared" ref="FZ7:FZ8" si="63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64">EXACT(GD7,C7)</f>
        <v>1</v>
      </c>
      <c r="GI7" s="108" t="b">
        <f t="shared" ref="GI7:GI8" si="65">EXACT(GG7,G7)</f>
        <v>0</v>
      </c>
    </row>
    <row r="8" spans="1:191" s="31" customFormat="1" ht="30" hidden="1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 t="shared" si="57"/>
        <v>1</v>
      </c>
      <c r="FS8" s="103" t="b">
        <f t="shared" si="58"/>
        <v>1</v>
      </c>
      <c r="FT8" s="103" t="b">
        <f t="shared" si="59"/>
        <v>1</v>
      </c>
      <c r="FU8" s="103" t="b">
        <f t="shared" si="60"/>
        <v>0</v>
      </c>
      <c r="FV8" s="103" t="b">
        <f t="shared" si="61"/>
        <v>1</v>
      </c>
      <c r="FW8" s="104" t="b">
        <f t="shared" ref="FW8:FW71" si="66">EXACT(FP8,BG8)</f>
        <v>0</v>
      </c>
      <c r="FX8" s="120" t="b">
        <f t="shared" si="62"/>
        <v>1</v>
      </c>
      <c r="FY8" s="104" t="s">
        <v>214</v>
      </c>
      <c r="FZ8" s="104" t="b">
        <f t="shared" si="63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64"/>
        <v>1</v>
      </c>
      <c r="GI8" s="8" t="b">
        <f t="shared" si="65"/>
        <v>0</v>
      </c>
    </row>
    <row r="9" spans="1:191" s="31" customFormat="1" ht="30" hidden="1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7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8">Q9*FH9</f>
        <v>5214312.62</v>
      </c>
      <c r="S9" s="94">
        <v>113</v>
      </c>
      <c r="T9" s="94">
        <v>8071470.2200000007</v>
      </c>
      <c r="U9" s="94">
        <f t="shared" ref="U9:U12" si="69">IFERROR(ROUNDUP(S9/$EX9,0)*$EY9,0)</f>
        <v>43.5</v>
      </c>
      <c r="V9" s="94">
        <f t="shared" ref="V9:V12" si="70">SUM(Z9:AD9)</f>
        <v>69</v>
      </c>
      <c r="W9" s="94">
        <f t="shared" ref="W9:W12" si="71">V9*FH9</f>
        <v>4928596.8600000003</v>
      </c>
      <c r="X9" s="94">
        <f t="shared" ref="X9:X12" si="72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73">AA9*FH9</f>
        <v>0</v>
      </c>
      <c r="AF9" s="95">
        <f t="shared" ref="AF9:AF12" si="74">AB9*FH9</f>
        <v>0</v>
      </c>
      <c r="AG9" s="96">
        <v>20</v>
      </c>
      <c r="AH9" s="95">
        <f t="shared" ref="AH9:AH12" si="75">V9-AG9</f>
        <v>49</v>
      </c>
      <c r="AI9" s="94">
        <f t="shared" ref="AI9:AI12" si="76">IF(AH9&gt;0,AH9*FH9,0)</f>
        <v>3500018.06</v>
      </c>
      <c r="AJ9" s="94">
        <f t="shared" ref="AJ9:AJ12" si="77">CU9</f>
        <v>4</v>
      </c>
      <c r="AK9" s="94">
        <f t="shared" ref="AK9:AK12" si="78">SUM(CS9:CU9)</f>
        <v>46</v>
      </c>
      <c r="AL9" s="94">
        <f t="shared" ref="AL9:AL12" si="79">SUM(CP9:CU9)</f>
        <v>46</v>
      </c>
      <c r="AM9" s="94">
        <f t="shared" ref="AM9:AM12" si="80">SUM(BK9:BP9)</f>
        <v>156</v>
      </c>
      <c r="AN9" s="94">
        <f t="shared" ref="AN9:AN12" si="81">IFERROR(S9/BQ9*30,"нет оборота")</f>
        <v>130.38461538461539</v>
      </c>
      <c r="AO9" s="94" t="str">
        <f t="shared" ref="AO9:AO12" si="82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83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84">IF(AT9="Да",W9,0)</f>
        <v>4928596.8600000003</v>
      </c>
      <c r="AX9" s="14">
        <f>MONTH(BC9)-6</f>
        <v>4</v>
      </c>
      <c r="AY9" s="94">
        <f t="shared" ref="AY9:AY12" si="85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6">BE9*FH9</f>
        <v>0</v>
      </c>
      <c r="BG9" s="29">
        <v>0</v>
      </c>
      <c r="BH9" s="29">
        <f t="shared" ref="BH9:BH12" si="87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8">IF(COUNTIF(BK9:BP9,"&gt;0")=0,0,SUM(BK9:BP9)/COUNTIF(BK9:BP9,"&gt;0"))</f>
        <v>26</v>
      </c>
      <c r="BR9" s="95">
        <f t="shared" ref="BR9:BR12" si="89">IF(OR(Q9=0,SUM(BK9:BP9)=0,V9&gt;Q9),V9-BK9,Q9-BK9)</f>
        <v>47</v>
      </c>
      <c r="BS9" s="95">
        <f t="shared" ref="BS9:BW10" si="90">BR9-BL9</f>
        <v>21</v>
      </c>
      <c r="BT9" s="95">
        <f t="shared" si="90"/>
        <v>-5</v>
      </c>
      <c r="BU9" s="95">
        <f t="shared" si="90"/>
        <v>-31</v>
      </c>
      <c r="BV9" s="95">
        <f t="shared" si="90"/>
        <v>-57</v>
      </c>
      <c r="BW9" s="95">
        <f t="shared" si="90"/>
        <v>-83</v>
      </c>
      <c r="BX9" s="95">
        <f t="shared" ref="BX9:CO10" si="91">BW9-$BQ9</f>
        <v>-109</v>
      </c>
      <c r="BY9" s="95">
        <f t="shared" si="91"/>
        <v>-135</v>
      </c>
      <c r="BZ9" s="95">
        <f t="shared" si="91"/>
        <v>-161</v>
      </c>
      <c r="CA9" s="95">
        <f t="shared" si="91"/>
        <v>-187</v>
      </c>
      <c r="CB9" s="95">
        <f t="shared" si="91"/>
        <v>-213</v>
      </c>
      <c r="CC9" s="95">
        <f t="shared" si="91"/>
        <v>-239</v>
      </c>
      <c r="CD9" s="95">
        <f t="shared" si="91"/>
        <v>-265</v>
      </c>
      <c r="CE9" s="95">
        <f t="shared" si="91"/>
        <v>-291</v>
      </c>
      <c r="CF9" s="95">
        <f t="shared" si="91"/>
        <v>-317</v>
      </c>
      <c r="CG9" s="95">
        <f t="shared" si="91"/>
        <v>-343</v>
      </c>
      <c r="CH9" s="95">
        <f t="shared" si="91"/>
        <v>-369</v>
      </c>
      <c r="CI9" s="95">
        <f t="shared" si="91"/>
        <v>-395</v>
      </c>
      <c r="CJ9" s="95">
        <f t="shared" si="91"/>
        <v>-421</v>
      </c>
      <c r="CK9" s="95">
        <f t="shared" si="91"/>
        <v>-447</v>
      </c>
      <c r="CL9" s="95">
        <f t="shared" si="91"/>
        <v>-473</v>
      </c>
      <c r="CM9" s="95">
        <f t="shared" si="91"/>
        <v>-499</v>
      </c>
      <c r="CN9" s="95">
        <f t="shared" si="91"/>
        <v>-525</v>
      </c>
      <c r="CO9" s="95">
        <f t="shared" si="91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92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93">IFERROR(CZ9/CY9,0)</f>
        <v>0</v>
      </c>
      <c r="DB9" s="62">
        <f t="shared" ref="DB9:DB12" si="94">CY9*FH9</f>
        <v>0</v>
      </c>
      <c r="DC9" s="62">
        <f t="shared" ref="DC9:DC12" si="95">CZ9*FH9</f>
        <v>428573.64</v>
      </c>
      <c r="DD9" s="102">
        <f t="shared" ref="DD9:DD12" si="96">IFERROR(DC9/DB9,0)</f>
        <v>0</v>
      </c>
      <c r="DE9" s="31">
        <v>0</v>
      </c>
      <c r="DG9" s="31">
        <v>0</v>
      </c>
      <c r="DH9" s="48">
        <f t="shared" ref="DH9:DH12" si="97">IFERROR(ROUNDUP(DG9/$EX9,0)*$EY9,0)</f>
        <v>0</v>
      </c>
      <c r="DI9" s="62">
        <v>119</v>
      </c>
      <c r="DJ9" s="62">
        <v>8500043.5399999991</v>
      </c>
      <c r="DK9" s="48">
        <f t="shared" ref="DK9:DK12" si="98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9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100">IFERROR(ROUNDUP(DS9/$EX9,0)*$EY9,0)</f>
        <v>45</v>
      </c>
      <c r="DV9" s="62">
        <v>6</v>
      </c>
      <c r="DW9" s="62">
        <v>428573.62424369744</v>
      </c>
      <c r="DX9" s="62">
        <f t="shared" ref="DX9:DX12" si="101">$DF9*BK9/30</f>
        <v>0</v>
      </c>
      <c r="DY9" s="62">
        <f t="shared" ref="DY9:DY12" si="102">DX9*$FH9</f>
        <v>0</v>
      </c>
      <c r="DZ9" s="48">
        <f t="shared" ref="DZ9:DZ12" si="103">IFERROR(ROUNDUP(DX9/$EX9,0)*$EY9,0)</f>
        <v>0</v>
      </c>
      <c r="EA9" s="62">
        <f t="shared" ref="EA9:EA12" si="104">$DF9*BL9/30</f>
        <v>0</v>
      </c>
      <c r="EB9" s="62">
        <f t="shared" ref="EB9:EB12" si="105">EA9*$FH9</f>
        <v>0</v>
      </c>
      <c r="EC9" s="48">
        <f t="shared" ref="EC9:EC12" si="106">IFERROR(ROUNDUP(EA9/$EX9,0)*$EY9,0)</f>
        <v>0</v>
      </c>
      <c r="ED9" s="62">
        <f t="shared" ref="ED9:ED12" si="107">$DF9*BM9/30</f>
        <v>0</v>
      </c>
      <c r="EE9" s="62">
        <f t="shared" ref="EE9:EE12" si="108">ED9*$FH9</f>
        <v>0</v>
      </c>
      <c r="EF9" s="48">
        <f t="shared" ref="EF9:EF12" si="109">IFERROR(ROUNDUP(ED9/$EX9,0)*$EY9,0)</f>
        <v>0</v>
      </c>
      <c r="EG9" s="62">
        <f t="shared" ref="EG9:EG12" si="110">$DF9*BN9/30</f>
        <v>0</v>
      </c>
      <c r="EH9" s="62">
        <f t="shared" ref="EH9:EH12" si="111">EG9*$FH9</f>
        <v>0</v>
      </c>
      <c r="EI9" s="48">
        <f t="shared" ref="EI9:EI12" si="112">IFERROR(ROUNDUP(EG9/$EX9,0)*$EY9,0)</f>
        <v>0</v>
      </c>
      <c r="EJ9" s="62">
        <f t="shared" ref="EJ9:EJ12" si="113">$DF9*BO9/30</f>
        <v>0</v>
      </c>
      <c r="EK9" s="62">
        <f t="shared" ref="EK9:EK12" si="114">EJ9*$FH9</f>
        <v>0</v>
      </c>
      <c r="EL9" s="48">
        <f t="shared" ref="EL9:EL12" si="115">IFERROR(ROUNDUP(EJ9/$EX9,0)*$EY9,0)</f>
        <v>0</v>
      </c>
      <c r="EM9" s="62">
        <f t="shared" ref="EM9:EM12" si="116">$DF9*BP9/30</f>
        <v>0</v>
      </c>
      <c r="EN9" s="62">
        <f t="shared" ref="EN9:EN12" si="117">EM9*$FH9</f>
        <v>0</v>
      </c>
      <c r="EO9" s="48">
        <f t="shared" ref="EO9:EO12" si="118">IFERROR(ROUNDUP(EM9/$EX9,0)*$EY9,0)</f>
        <v>0</v>
      </c>
      <c r="EP9" s="62">
        <f t="shared" ref="EP9:ER10" si="119">BK9*$FH9</f>
        <v>1857152.44</v>
      </c>
      <c r="EQ9" s="62">
        <f t="shared" si="119"/>
        <v>1857152.44</v>
      </c>
      <c r="ER9" s="62">
        <f t="shared" si="119"/>
        <v>1857152.44</v>
      </c>
      <c r="ES9" s="62">
        <f t="shared" ref="ES9:EU10" si="120">BN9*$FH9</f>
        <v>1857152.44</v>
      </c>
      <c r="ET9" s="62">
        <f t="shared" si="120"/>
        <v>1857152.44</v>
      </c>
      <c r="EU9" s="62">
        <f t="shared" si="120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21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 t="shared" si="57"/>
        <v>1</v>
      </c>
      <c r="FS9" s="104" t="b">
        <f t="shared" si="58"/>
        <v>1</v>
      </c>
      <c r="FT9" s="104" t="b">
        <f t="shared" si="59"/>
        <v>1</v>
      </c>
      <c r="FU9" s="104" t="b">
        <f t="shared" si="60"/>
        <v>0</v>
      </c>
      <c r="FV9" s="104" t="b">
        <f t="shared" si="61"/>
        <v>1</v>
      </c>
      <c r="FW9" s="104" t="b">
        <f t="shared" si="66"/>
        <v>0</v>
      </c>
      <c r="FX9" s="104" t="b">
        <f t="shared" ref="FX9:FX12" si="122">EXACT(FQ9,BI9)</f>
        <v>1</v>
      </c>
      <c r="FY9" s="104" t="s">
        <v>214</v>
      </c>
      <c r="FZ9" s="104" t="b">
        <f t="shared" ref="FZ9:FZ12" si="123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24">EXACT(GD9,C9)</f>
        <v>1</v>
      </c>
      <c r="GI9" s="108" t="b">
        <f t="shared" ref="GI9:GI12" si="125">EXACT(GG9,G9)</f>
        <v>0</v>
      </c>
    </row>
    <row r="10" spans="1:191" s="31" customFormat="1" hidden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7"/>
        <v>меньше мин</v>
      </c>
      <c r="Q10" s="95">
        <v>0</v>
      </c>
      <c r="R10" s="95">
        <f t="shared" si="68"/>
        <v>0</v>
      </c>
      <c r="S10" s="112">
        <v>0</v>
      </c>
      <c r="T10" s="112">
        <v>0</v>
      </c>
      <c r="U10" s="112">
        <f t="shared" si="69"/>
        <v>0</v>
      </c>
      <c r="V10" s="113">
        <f t="shared" si="70"/>
        <v>0</v>
      </c>
      <c r="W10" s="113">
        <f t="shared" si="71"/>
        <v>0</v>
      </c>
      <c r="X10" s="113">
        <f t="shared" si="72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73"/>
        <v>0</v>
      </c>
      <c r="AF10" s="95">
        <f t="shared" si="74"/>
        <v>0</v>
      </c>
      <c r="AG10" s="114">
        <v>0</v>
      </c>
      <c r="AH10" s="95">
        <f t="shared" si="75"/>
        <v>0</v>
      </c>
      <c r="AI10" s="115">
        <f t="shared" si="76"/>
        <v>0</v>
      </c>
      <c r="AJ10" s="95">
        <f t="shared" si="77"/>
        <v>0</v>
      </c>
      <c r="AK10" s="95">
        <f t="shared" si="78"/>
        <v>0</v>
      </c>
      <c r="AL10" s="95">
        <f t="shared" si="79"/>
        <v>340</v>
      </c>
      <c r="AM10" s="95">
        <f t="shared" si="80"/>
        <v>52</v>
      </c>
      <c r="AN10" s="95">
        <f t="shared" si="81"/>
        <v>0</v>
      </c>
      <c r="AO10" s="95" t="str">
        <f t="shared" si="82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83"/>
        <v>нет остатка</v>
      </c>
      <c r="AW10" s="117">
        <f t="shared" si="84"/>
        <v>0</v>
      </c>
      <c r="AX10" s="118"/>
      <c r="AY10" s="25">
        <f t="shared" si="85"/>
        <v>0</v>
      </c>
      <c r="AZ10" s="109" t="s">
        <v>1006</v>
      </c>
      <c r="BA10" s="26"/>
      <c r="BB10" s="26"/>
      <c r="BC10" s="27"/>
      <c r="BD10" s="28"/>
      <c r="BE10" s="29">
        <v>0</v>
      </c>
      <c r="BF10" s="29">
        <f t="shared" si="86"/>
        <v>0</v>
      </c>
      <c r="BG10" s="29">
        <v>0</v>
      </c>
      <c r="BH10" s="29">
        <f t="shared" si="87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8"/>
        <v>52</v>
      </c>
      <c r="BR10" s="95">
        <f t="shared" si="89"/>
        <v>0</v>
      </c>
      <c r="BS10" s="95">
        <f t="shared" si="90"/>
        <v>0</v>
      </c>
      <c r="BT10" s="95">
        <f t="shared" si="90"/>
        <v>0</v>
      </c>
      <c r="BU10" s="95">
        <f t="shared" si="90"/>
        <v>0</v>
      </c>
      <c r="BV10" s="95">
        <f t="shared" si="90"/>
        <v>0</v>
      </c>
      <c r="BW10" s="95">
        <f t="shared" si="90"/>
        <v>-52</v>
      </c>
      <c r="BX10" s="95">
        <f t="shared" si="91"/>
        <v>-104</v>
      </c>
      <c r="BY10" s="95">
        <f t="shared" si="91"/>
        <v>-156</v>
      </c>
      <c r="BZ10" s="95">
        <f t="shared" si="91"/>
        <v>-208</v>
      </c>
      <c r="CA10" s="95">
        <f t="shared" si="91"/>
        <v>-260</v>
      </c>
      <c r="CB10" s="95">
        <f t="shared" si="91"/>
        <v>-312</v>
      </c>
      <c r="CC10" s="95">
        <f t="shared" si="91"/>
        <v>-364</v>
      </c>
      <c r="CD10" s="95">
        <f t="shared" si="91"/>
        <v>-416</v>
      </c>
      <c r="CE10" s="95">
        <f t="shared" si="91"/>
        <v>-468</v>
      </c>
      <c r="CF10" s="95">
        <f t="shared" si="91"/>
        <v>-520</v>
      </c>
      <c r="CG10" s="95">
        <f t="shared" si="91"/>
        <v>-572</v>
      </c>
      <c r="CH10" s="95">
        <f t="shared" si="91"/>
        <v>-624</v>
      </c>
      <c r="CI10" s="95">
        <f t="shared" si="91"/>
        <v>-676</v>
      </c>
      <c r="CJ10" s="95">
        <f t="shared" si="91"/>
        <v>-728</v>
      </c>
      <c r="CK10" s="95">
        <f t="shared" si="91"/>
        <v>-780</v>
      </c>
      <c r="CL10" s="95">
        <f t="shared" si="91"/>
        <v>-832</v>
      </c>
      <c r="CM10" s="95">
        <f t="shared" si="91"/>
        <v>-884</v>
      </c>
      <c r="CN10" s="95">
        <f t="shared" si="91"/>
        <v>-936</v>
      </c>
      <c r="CO10" s="95">
        <f t="shared" si="91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92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93"/>
        <v>0</v>
      </c>
      <c r="DB10" s="62">
        <f t="shared" si="94"/>
        <v>0</v>
      </c>
      <c r="DC10" s="62">
        <f t="shared" si="95"/>
        <v>0</v>
      </c>
      <c r="DD10" s="102">
        <f t="shared" si="96"/>
        <v>0</v>
      </c>
      <c r="DE10" s="31">
        <v>0</v>
      </c>
      <c r="DF10" s="31">
        <v>90</v>
      </c>
      <c r="DG10" s="31">
        <v>0</v>
      </c>
      <c r="DH10" s="48">
        <f t="shared" si="97"/>
        <v>0</v>
      </c>
      <c r="DI10" s="62">
        <v>340</v>
      </c>
      <c r="DJ10" s="62">
        <v>27832.19</v>
      </c>
      <c r="DK10" s="48">
        <f t="shared" si="98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9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100"/>
        <v>0</v>
      </c>
      <c r="DV10" s="62">
        <v>0</v>
      </c>
      <c r="DW10" s="62">
        <v>0</v>
      </c>
      <c r="DX10" s="62">
        <f t="shared" si="101"/>
        <v>0</v>
      </c>
      <c r="DY10" s="62">
        <f t="shared" si="102"/>
        <v>0</v>
      </c>
      <c r="DZ10" s="48">
        <f t="shared" si="103"/>
        <v>0</v>
      </c>
      <c r="EA10" s="62">
        <f t="shared" si="104"/>
        <v>0</v>
      </c>
      <c r="EB10" s="62">
        <f t="shared" si="105"/>
        <v>0</v>
      </c>
      <c r="EC10" s="48">
        <f t="shared" si="106"/>
        <v>0</v>
      </c>
      <c r="ED10" s="62">
        <f t="shared" si="107"/>
        <v>0</v>
      </c>
      <c r="EE10" s="62">
        <f t="shared" si="108"/>
        <v>0</v>
      </c>
      <c r="EF10" s="48">
        <f t="shared" si="109"/>
        <v>0</v>
      </c>
      <c r="EG10" s="62">
        <f t="shared" si="110"/>
        <v>0</v>
      </c>
      <c r="EH10" s="62">
        <f t="shared" si="111"/>
        <v>0</v>
      </c>
      <c r="EI10" s="48">
        <f t="shared" si="112"/>
        <v>0</v>
      </c>
      <c r="EJ10" s="62">
        <f t="shared" si="113"/>
        <v>0</v>
      </c>
      <c r="EK10" s="62">
        <f t="shared" si="114"/>
        <v>0</v>
      </c>
      <c r="EL10" s="48">
        <f t="shared" si="115"/>
        <v>0</v>
      </c>
      <c r="EM10" s="62">
        <f t="shared" si="116"/>
        <v>156</v>
      </c>
      <c r="EN10" s="62">
        <f t="shared" si="117"/>
        <v>12770.16</v>
      </c>
      <c r="EO10" s="48">
        <f t="shared" si="118"/>
        <v>0</v>
      </c>
      <c r="EP10" s="62">
        <f t="shared" si="119"/>
        <v>0</v>
      </c>
      <c r="EQ10" s="62">
        <f t="shared" si="119"/>
        <v>0</v>
      </c>
      <c r="ER10" s="62">
        <f t="shared" si="119"/>
        <v>0</v>
      </c>
      <c r="ES10" s="62">
        <f t="shared" si="120"/>
        <v>0</v>
      </c>
      <c r="ET10" s="62">
        <f t="shared" si="120"/>
        <v>0</v>
      </c>
      <c r="EU10" s="62">
        <f t="shared" si="120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21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 t="shared" si="57"/>
        <v>0</v>
      </c>
      <c r="FS10" s="103" t="b">
        <f t="shared" si="58"/>
        <v>0</v>
      </c>
      <c r="FT10" s="103" t="b">
        <f t="shared" si="59"/>
        <v>0</v>
      </c>
      <c r="FU10" s="103" t="b">
        <f t="shared" si="60"/>
        <v>0</v>
      </c>
      <c r="FV10" s="103" t="b">
        <f t="shared" si="61"/>
        <v>1</v>
      </c>
      <c r="FW10" s="104" t="b">
        <f t="shared" si="66"/>
        <v>0</v>
      </c>
      <c r="FX10" s="120" t="b">
        <f t="shared" si="122"/>
        <v>1</v>
      </c>
      <c r="FY10" s="104" t="s">
        <v>214</v>
      </c>
      <c r="FZ10" s="104" t="b">
        <f t="shared" si="123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24"/>
        <v>1</v>
      </c>
      <c r="GI10" s="8" t="b">
        <f t="shared" si="125"/>
        <v>0</v>
      </c>
    </row>
    <row r="11" spans="1:191" s="31" customFormat="1" ht="30" hidden="1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7"/>
        <v>нет минмакс</v>
      </c>
      <c r="Q11" s="95">
        <v>247</v>
      </c>
      <c r="R11" s="95">
        <f t="shared" si="68"/>
        <v>7848597.9000000004</v>
      </c>
      <c r="S11" s="94">
        <v>200</v>
      </c>
      <c r="T11" s="94">
        <v>6880810.0000000009</v>
      </c>
      <c r="U11" s="94">
        <f t="shared" si="69"/>
        <v>75</v>
      </c>
      <c r="V11" s="94">
        <f t="shared" si="70"/>
        <v>247</v>
      </c>
      <c r="W11" s="94">
        <f t="shared" si="71"/>
        <v>7848597.9000000004</v>
      </c>
      <c r="X11" s="94">
        <f t="shared" si="72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73"/>
        <v>0</v>
      </c>
      <c r="AF11" s="95">
        <f t="shared" si="74"/>
        <v>0</v>
      </c>
      <c r="AG11" s="96">
        <v>0</v>
      </c>
      <c r="AH11" s="95">
        <f t="shared" si="75"/>
        <v>247</v>
      </c>
      <c r="AI11" s="94">
        <f t="shared" si="76"/>
        <v>7848597.9000000004</v>
      </c>
      <c r="AJ11" s="94">
        <f t="shared" si="77"/>
        <v>156</v>
      </c>
      <c r="AK11" s="94">
        <f t="shared" si="78"/>
        <v>356</v>
      </c>
      <c r="AL11" s="94">
        <f t="shared" si="79"/>
        <v>772</v>
      </c>
      <c r="AM11" s="94">
        <f t="shared" si="80"/>
        <v>269.99999999999994</v>
      </c>
      <c r="AN11" s="94">
        <f t="shared" si="81"/>
        <v>133.33333333333337</v>
      </c>
      <c r="AO11" s="94" t="str">
        <f t="shared" si="82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83"/>
        <v>0-06</v>
      </c>
      <c r="AW11" s="98">
        <f t="shared" si="84"/>
        <v>7848597.9000000004</v>
      </c>
      <c r="AX11" s="14">
        <f>MONTH(BC11)-6</f>
        <v>2</v>
      </c>
      <c r="AY11" s="94">
        <f t="shared" si="85"/>
        <v>0</v>
      </c>
      <c r="AZ11" s="93" t="s">
        <v>1007</v>
      </c>
      <c r="BA11" s="26" t="s">
        <v>201</v>
      </c>
      <c r="BB11" s="26" t="s">
        <v>244</v>
      </c>
      <c r="BC11" s="27">
        <v>45870</v>
      </c>
      <c r="BD11" s="28"/>
      <c r="BE11" s="29">
        <v>0</v>
      </c>
      <c r="BF11" s="29">
        <f t="shared" si="86"/>
        <v>0</v>
      </c>
      <c r="BG11" s="29">
        <v>0</v>
      </c>
      <c r="BH11" s="29">
        <f t="shared" si="87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8"/>
        <v>44.999999999999993</v>
      </c>
      <c r="BR11" s="95">
        <f t="shared" si="89"/>
        <v>187</v>
      </c>
      <c r="BS11" s="95">
        <f t="shared" ref="BS11:BW12" si="126">BR11-BL11</f>
        <v>172</v>
      </c>
      <c r="BT11" s="95">
        <f t="shared" si="126"/>
        <v>157</v>
      </c>
      <c r="BU11" s="95">
        <f t="shared" si="126"/>
        <v>97</v>
      </c>
      <c r="BV11" s="95">
        <f t="shared" si="126"/>
        <v>37.000000000000007</v>
      </c>
      <c r="BW11" s="95">
        <f t="shared" si="126"/>
        <v>-22.999999999999986</v>
      </c>
      <c r="BX11" s="95">
        <f t="shared" ref="BX11:CO12" si="127">BW11-$BQ11</f>
        <v>-67.999999999999972</v>
      </c>
      <c r="BY11" s="95">
        <f t="shared" si="127"/>
        <v>-112.99999999999997</v>
      </c>
      <c r="BZ11" s="95">
        <f t="shared" si="127"/>
        <v>-157.99999999999997</v>
      </c>
      <c r="CA11" s="95">
        <f t="shared" si="127"/>
        <v>-202.99999999999997</v>
      </c>
      <c r="CB11" s="95">
        <f t="shared" si="127"/>
        <v>-247.99999999999997</v>
      </c>
      <c r="CC11" s="95">
        <f t="shared" si="127"/>
        <v>-292.99999999999994</v>
      </c>
      <c r="CD11" s="95">
        <f t="shared" si="127"/>
        <v>-337.99999999999994</v>
      </c>
      <c r="CE11" s="95">
        <f t="shared" si="127"/>
        <v>-382.99999999999994</v>
      </c>
      <c r="CF11" s="95">
        <f t="shared" si="127"/>
        <v>-427.99999999999994</v>
      </c>
      <c r="CG11" s="95">
        <f t="shared" si="127"/>
        <v>-472.99999999999994</v>
      </c>
      <c r="CH11" s="95">
        <f t="shared" si="127"/>
        <v>-517.99999999999989</v>
      </c>
      <c r="CI11" s="95">
        <f t="shared" si="127"/>
        <v>-562.99999999999989</v>
      </c>
      <c r="CJ11" s="95">
        <f t="shared" si="127"/>
        <v>-607.99999999999989</v>
      </c>
      <c r="CK11" s="95">
        <f t="shared" si="127"/>
        <v>-652.99999999999989</v>
      </c>
      <c r="CL11" s="95">
        <f t="shared" si="127"/>
        <v>-697.99999999999989</v>
      </c>
      <c r="CM11" s="95">
        <f t="shared" si="127"/>
        <v>-742.99999999999989</v>
      </c>
      <c r="CN11" s="95">
        <f t="shared" si="127"/>
        <v>-787.99999999999989</v>
      </c>
      <c r="CO11" s="95">
        <f t="shared" si="127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92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93"/>
        <v>0</v>
      </c>
      <c r="DB11" s="62">
        <f t="shared" si="94"/>
        <v>1271028</v>
      </c>
      <c r="DC11" s="62">
        <f t="shared" si="95"/>
        <v>0</v>
      </c>
      <c r="DD11" s="102">
        <f t="shared" si="96"/>
        <v>0</v>
      </c>
      <c r="DE11" s="31">
        <v>0</v>
      </c>
      <c r="DG11" s="31">
        <v>0</v>
      </c>
      <c r="DH11" s="48">
        <f t="shared" si="97"/>
        <v>0</v>
      </c>
      <c r="DI11" s="62">
        <v>106.452</v>
      </c>
      <c r="DJ11" s="62">
        <v>3650748.6170000001</v>
      </c>
      <c r="DK11" s="48">
        <f t="shared" si="98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9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100"/>
        <v>75</v>
      </c>
      <c r="DV11" s="62">
        <v>0</v>
      </c>
      <c r="DW11" s="62">
        <v>0</v>
      </c>
      <c r="DX11" s="62">
        <f t="shared" si="101"/>
        <v>0</v>
      </c>
      <c r="DY11" s="62">
        <f t="shared" si="102"/>
        <v>0</v>
      </c>
      <c r="DZ11" s="48">
        <f t="shared" si="103"/>
        <v>0</v>
      </c>
      <c r="EA11" s="62">
        <f t="shared" si="104"/>
        <v>0</v>
      </c>
      <c r="EB11" s="62">
        <f t="shared" si="105"/>
        <v>0</v>
      </c>
      <c r="EC11" s="48">
        <f t="shared" si="106"/>
        <v>0</v>
      </c>
      <c r="ED11" s="62">
        <f t="shared" si="107"/>
        <v>0</v>
      </c>
      <c r="EE11" s="62">
        <f t="shared" si="108"/>
        <v>0</v>
      </c>
      <c r="EF11" s="48">
        <f t="shared" si="109"/>
        <v>0</v>
      </c>
      <c r="EG11" s="62">
        <f t="shared" si="110"/>
        <v>0</v>
      </c>
      <c r="EH11" s="62">
        <f t="shared" si="111"/>
        <v>0</v>
      </c>
      <c r="EI11" s="48">
        <f t="shared" si="112"/>
        <v>0</v>
      </c>
      <c r="EJ11" s="62">
        <f t="shared" si="113"/>
        <v>0</v>
      </c>
      <c r="EK11" s="62">
        <f t="shared" si="114"/>
        <v>0</v>
      </c>
      <c r="EL11" s="48">
        <f t="shared" si="115"/>
        <v>0</v>
      </c>
      <c r="EM11" s="62">
        <f t="shared" si="116"/>
        <v>0</v>
      </c>
      <c r="EN11" s="62">
        <f t="shared" si="117"/>
        <v>0</v>
      </c>
      <c r="EO11" s="48">
        <f t="shared" si="118"/>
        <v>0</v>
      </c>
      <c r="EP11" s="62">
        <f t="shared" ref="EP11:EU12" si="128">BK11*$FH11</f>
        <v>1906541.9999999998</v>
      </c>
      <c r="EQ11" s="62">
        <f t="shared" si="128"/>
        <v>476635.49999999994</v>
      </c>
      <c r="ER11" s="62">
        <f t="shared" si="128"/>
        <v>476635.49999999994</v>
      </c>
      <c r="ES11" s="62">
        <f t="shared" si="128"/>
        <v>1906541.9999999998</v>
      </c>
      <c r="ET11" s="62">
        <f t="shared" si="128"/>
        <v>1906541.9999999998</v>
      </c>
      <c r="EU11" s="62">
        <f t="shared" si="128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21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 t="shared" si="57"/>
        <v>1</v>
      </c>
      <c r="FS11" s="104" t="b">
        <f t="shared" si="58"/>
        <v>1</v>
      </c>
      <c r="FT11" s="104" t="b">
        <f t="shared" si="59"/>
        <v>1</v>
      </c>
      <c r="FU11" s="104" t="b">
        <f t="shared" si="60"/>
        <v>0</v>
      </c>
      <c r="FV11" s="104" t="b">
        <f t="shared" si="61"/>
        <v>1</v>
      </c>
      <c r="FW11" s="104" t="b">
        <f t="shared" si="66"/>
        <v>0</v>
      </c>
      <c r="FX11" s="104" t="b">
        <f t="shared" si="122"/>
        <v>1</v>
      </c>
      <c r="FY11" s="104" t="s">
        <v>214</v>
      </c>
      <c r="FZ11" s="104" t="b">
        <f t="shared" si="123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24"/>
        <v>1</v>
      </c>
      <c r="GI11" s="108" t="b">
        <f t="shared" si="125"/>
        <v>0</v>
      </c>
    </row>
    <row r="12" spans="1:191" s="31" customFormat="1" ht="30" hidden="1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7"/>
        <v>нет минмакс</v>
      </c>
      <c r="Q12" s="95">
        <v>0</v>
      </c>
      <c r="R12" s="95">
        <f t="shared" si="68"/>
        <v>0</v>
      </c>
      <c r="S12" s="112">
        <v>311</v>
      </c>
      <c r="T12" s="112">
        <v>19832.47</v>
      </c>
      <c r="U12" s="112">
        <f t="shared" si="69"/>
        <v>0</v>
      </c>
      <c r="V12" s="113">
        <f t="shared" si="70"/>
        <v>0</v>
      </c>
      <c r="W12" s="113">
        <f t="shared" si="71"/>
        <v>0</v>
      </c>
      <c r="X12" s="113">
        <f t="shared" si="72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73"/>
        <v>0</v>
      </c>
      <c r="AF12" s="95">
        <f t="shared" si="74"/>
        <v>0</v>
      </c>
      <c r="AG12" s="114">
        <v>0</v>
      </c>
      <c r="AH12" s="95">
        <f t="shared" si="75"/>
        <v>0</v>
      </c>
      <c r="AI12" s="115">
        <f t="shared" si="76"/>
        <v>0</v>
      </c>
      <c r="AJ12" s="95">
        <f t="shared" si="77"/>
        <v>411</v>
      </c>
      <c r="AK12" s="95">
        <f t="shared" si="78"/>
        <v>411</v>
      </c>
      <c r="AL12" s="95">
        <f t="shared" si="79"/>
        <v>1027</v>
      </c>
      <c r="AM12" s="95">
        <f t="shared" si="80"/>
        <v>270</v>
      </c>
      <c r="AN12" s="95">
        <f t="shared" si="81"/>
        <v>207.33333333333334</v>
      </c>
      <c r="AO12" s="95" t="str">
        <f t="shared" si="82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83"/>
        <v>нет остатка</v>
      </c>
      <c r="AW12" s="117">
        <f t="shared" si="84"/>
        <v>0</v>
      </c>
      <c r="AX12" s="118"/>
      <c r="AY12" s="25">
        <f t="shared" si="85"/>
        <v>0</v>
      </c>
      <c r="AZ12" s="109" t="s">
        <v>1007</v>
      </c>
      <c r="BA12" s="26" t="s">
        <v>196</v>
      </c>
      <c r="BB12" s="26" t="s">
        <v>244</v>
      </c>
      <c r="BC12" s="27">
        <v>45901</v>
      </c>
      <c r="BD12" s="28"/>
      <c r="BE12" s="29">
        <v>0</v>
      </c>
      <c r="BF12" s="29">
        <f t="shared" si="86"/>
        <v>0</v>
      </c>
      <c r="BG12" s="29">
        <v>0</v>
      </c>
      <c r="BH12" s="29">
        <f t="shared" si="87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8"/>
        <v>45</v>
      </c>
      <c r="BR12" s="95">
        <f t="shared" si="89"/>
        <v>-60</v>
      </c>
      <c r="BS12" s="95">
        <f t="shared" si="126"/>
        <v>-86</v>
      </c>
      <c r="BT12" s="95">
        <f t="shared" si="126"/>
        <v>-112</v>
      </c>
      <c r="BU12" s="95">
        <f t="shared" si="126"/>
        <v>-150</v>
      </c>
      <c r="BV12" s="95">
        <f t="shared" si="126"/>
        <v>-210</v>
      </c>
      <c r="BW12" s="95">
        <f t="shared" si="126"/>
        <v>-270</v>
      </c>
      <c r="BX12" s="95">
        <f t="shared" si="127"/>
        <v>-315</v>
      </c>
      <c r="BY12" s="95">
        <f t="shared" si="127"/>
        <v>-360</v>
      </c>
      <c r="BZ12" s="95">
        <f t="shared" si="127"/>
        <v>-405</v>
      </c>
      <c r="CA12" s="95">
        <f t="shared" si="127"/>
        <v>-450</v>
      </c>
      <c r="CB12" s="95">
        <f t="shared" si="127"/>
        <v>-495</v>
      </c>
      <c r="CC12" s="95">
        <f t="shared" si="127"/>
        <v>-540</v>
      </c>
      <c r="CD12" s="95">
        <f t="shared" si="127"/>
        <v>-585</v>
      </c>
      <c r="CE12" s="95">
        <f t="shared" si="127"/>
        <v>-630</v>
      </c>
      <c r="CF12" s="95">
        <f t="shared" si="127"/>
        <v>-675</v>
      </c>
      <c r="CG12" s="95">
        <f t="shared" si="127"/>
        <v>-720</v>
      </c>
      <c r="CH12" s="95">
        <f t="shared" si="127"/>
        <v>-765</v>
      </c>
      <c r="CI12" s="95">
        <f t="shared" si="127"/>
        <v>-810</v>
      </c>
      <c r="CJ12" s="95">
        <f t="shared" si="127"/>
        <v>-855</v>
      </c>
      <c r="CK12" s="95">
        <f t="shared" si="127"/>
        <v>-900</v>
      </c>
      <c r="CL12" s="95">
        <f t="shared" si="127"/>
        <v>-945</v>
      </c>
      <c r="CM12" s="95">
        <f t="shared" si="127"/>
        <v>-990</v>
      </c>
      <c r="CN12" s="95">
        <f t="shared" si="127"/>
        <v>-1035</v>
      </c>
      <c r="CO12" s="95">
        <f t="shared" si="127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92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93"/>
        <v>0</v>
      </c>
      <c r="DB12" s="62">
        <f t="shared" si="94"/>
        <v>0</v>
      </c>
      <c r="DC12" s="62">
        <f t="shared" si="95"/>
        <v>0</v>
      </c>
      <c r="DD12" s="102">
        <f t="shared" si="96"/>
        <v>0</v>
      </c>
      <c r="DE12" s="31">
        <v>0</v>
      </c>
      <c r="DF12" s="31">
        <v>90</v>
      </c>
      <c r="DG12" s="31">
        <v>0</v>
      </c>
      <c r="DH12" s="48">
        <f t="shared" si="97"/>
        <v>0</v>
      </c>
      <c r="DI12" s="62">
        <v>133.548</v>
      </c>
      <c r="DJ12" s="62">
        <v>10921.897000000001</v>
      </c>
      <c r="DK12" s="48">
        <f t="shared" si="98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9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100"/>
        <v>0</v>
      </c>
      <c r="DV12" s="62">
        <v>0</v>
      </c>
      <c r="DW12" s="62">
        <v>0</v>
      </c>
      <c r="DX12" s="62">
        <f t="shared" si="101"/>
        <v>180</v>
      </c>
      <c r="DY12" s="62">
        <f t="shared" si="102"/>
        <v>15971.400000000001</v>
      </c>
      <c r="DZ12" s="48">
        <f t="shared" si="103"/>
        <v>0</v>
      </c>
      <c r="EA12" s="62">
        <f t="shared" si="104"/>
        <v>78</v>
      </c>
      <c r="EB12" s="62">
        <f t="shared" si="105"/>
        <v>6920.9400000000005</v>
      </c>
      <c r="EC12" s="48">
        <f t="shared" si="106"/>
        <v>0</v>
      </c>
      <c r="ED12" s="62">
        <f t="shared" si="107"/>
        <v>78</v>
      </c>
      <c r="EE12" s="62">
        <f t="shared" si="108"/>
        <v>6920.9400000000005</v>
      </c>
      <c r="EF12" s="48">
        <f t="shared" si="109"/>
        <v>0</v>
      </c>
      <c r="EG12" s="62">
        <f t="shared" si="110"/>
        <v>114</v>
      </c>
      <c r="EH12" s="62">
        <f t="shared" si="111"/>
        <v>10115.220000000001</v>
      </c>
      <c r="EI12" s="48">
        <f t="shared" si="112"/>
        <v>0</v>
      </c>
      <c r="EJ12" s="62">
        <f t="shared" si="113"/>
        <v>180</v>
      </c>
      <c r="EK12" s="62">
        <f t="shared" si="114"/>
        <v>15971.400000000001</v>
      </c>
      <c r="EL12" s="48">
        <f t="shared" si="115"/>
        <v>0</v>
      </c>
      <c r="EM12" s="62">
        <f t="shared" si="116"/>
        <v>180</v>
      </c>
      <c r="EN12" s="62">
        <f t="shared" si="117"/>
        <v>15971.400000000001</v>
      </c>
      <c r="EO12" s="48">
        <f t="shared" si="118"/>
        <v>0</v>
      </c>
      <c r="EP12" s="62">
        <f t="shared" si="128"/>
        <v>5323.8</v>
      </c>
      <c r="EQ12" s="62">
        <f t="shared" si="128"/>
        <v>2306.98</v>
      </c>
      <c r="ER12" s="62">
        <f t="shared" si="128"/>
        <v>2306.98</v>
      </c>
      <c r="ES12" s="62">
        <f t="shared" si="128"/>
        <v>3371.7400000000002</v>
      </c>
      <c r="ET12" s="62">
        <f t="shared" si="128"/>
        <v>5323.8</v>
      </c>
      <c r="EU12" s="62">
        <f t="shared" si="128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21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 t="shared" si="57"/>
        <v>1</v>
      </c>
      <c r="FS12" s="103" t="b">
        <f t="shared" si="58"/>
        <v>1</v>
      </c>
      <c r="FT12" s="103" t="b">
        <f t="shared" si="59"/>
        <v>1</v>
      </c>
      <c r="FU12" s="103" t="b">
        <f t="shared" si="60"/>
        <v>0</v>
      </c>
      <c r="FV12" s="103" t="b">
        <f t="shared" si="61"/>
        <v>1</v>
      </c>
      <c r="FW12" s="104" t="b">
        <f t="shared" si="66"/>
        <v>0</v>
      </c>
      <c r="FX12" s="120" t="b">
        <f t="shared" si="122"/>
        <v>1</v>
      </c>
      <c r="FY12" s="104" t="s">
        <v>214</v>
      </c>
      <c r="FZ12" s="104" t="b">
        <f t="shared" si="123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24"/>
        <v>1</v>
      </c>
      <c r="GI12" s="8" t="b">
        <f t="shared" si="125"/>
        <v>0</v>
      </c>
    </row>
    <row r="13" spans="1:191" s="31" customFormat="1" ht="45" hidden="1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9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30">Q13*FH13</f>
        <v>4604796.9300000006</v>
      </c>
      <c r="S13" s="94">
        <v>85</v>
      </c>
      <c r="T13" s="94">
        <v>5361749.8500000006</v>
      </c>
      <c r="U13" s="94">
        <f t="shared" ref="U13:U14" si="131">IFERROR(ROUNDUP(S13/$EX13,0)*$EY13,0)</f>
        <v>33</v>
      </c>
      <c r="V13" s="94">
        <f t="shared" ref="V13:V14" si="132">SUM(Z13:AD13)</f>
        <v>73</v>
      </c>
      <c r="W13" s="94">
        <f t="shared" ref="W13:W14" si="133">V13*FH13</f>
        <v>4604796.9300000006</v>
      </c>
      <c r="X13" s="94">
        <f t="shared" ref="X13:X14" si="134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35">AA13*FH13</f>
        <v>0</v>
      </c>
      <c r="AF13" s="95">
        <f t="shared" ref="AF13:AF14" si="136">AB13*FH13</f>
        <v>0</v>
      </c>
      <c r="AG13" s="96">
        <v>0</v>
      </c>
      <c r="AH13" s="95">
        <f t="shared" ref="AH13:AH14" si="137">V13-AG13</f>
        <v>73</v>
      </c>
      <c r="AI13" s="94">
        <f t="shared" ref="AI13:AI14" si="138">IF(AH13&gt;0,AH13*FH13,0)</f>
        <v>4604796.9300000006</v>
      </c>
      <c r="AJ13" s="94">
        <f t="shared" ref="AJ13:AJ14" si="139">CU13</f>
        <v>4</v>
      </c>
      <c r="AK13" s="94">
        <f t="shared" ref="AK13:AK14" si="140">SUM(CS13:CU13)</f>
        <v>20</v>
      </c>
      <c r="AL13" s="94">
        <f t="shared" ref="AL13:AL14" si="141">SUM(CP13:CU13)</f>
        <v>32</v>
      </c>
      <c r="AM13" s="94">
        <f t="shared" ref="AM13:AM14" si="142">SUM(BK13:BP13)</f>
        <v>30</v>
      </c>
      <c r="AN13" s="94">
        <f t="shared" ref="AN13:AN14" si="143">IFERROR(S13/BQ13*30,"нет оборота")</f>
        <v>510</v>
      </c>
      <c r="AO13" s="94" t="str">
        <f t="shared" ref="AO13:AO14" si="144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45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6">IF(AT13="Да",W13,0)</f>
        <v>4604796.9300000006</v>
      </c>
      <c r="AX13" s="14">
        <f t="shared" ref="AX13:AX14" si="147">MONTH(BC13)-6</f>
        <v>5</v>
      </c>
      <c r="AY13" s="94">
        <f t="shared" ref="AY13:AY14" si="148">IF(AX13&gt;6,W13,0)</f>
        <v>0</v>
      </c>
      <c r="AZ13" s="93" t="s">
        <v>1008</v>
      </c>
      <c r="BA13" s="26" t="s">
        <v>201</v>
      </c>
      <c r="BB13" s="26" t="s">
        <v>252</v>
      </c>
      <c r="BC13" s="27">
        <v>45962</v>
      </c>
      <c r="BD13" s="28" t="s">
        <v>253</v>
      </c>
      <c r="BE13" s="29">
        <v>0</v>
      </c>
      <c r="BF13" s="29">
        <f t="shared" ref="BF13:BF14" si="149">BE13*FH13</f>
        <v>0</v>
      </c>
      <c r="BG13" s="29">
        <v>0</v>
      </c>
      <c r="BH13" s="29">
        <f t="shared" ref="BH13:BH14" si="150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51">IF(COUNTIF(BK13:BP13,"&gt;0")=0,0,SUM(BK13:BP13)/COUNTIF(BK13:BP13,"&gt;0"))</f>
        <v>5</v>
      </c>
      <c r="BR13" s="95">
        <f t="shared" ref="BR13:BR14" si="152">IF(OR(Q13=0,SUM(BK13:BP13)=0,V13&gt;Q13),V13-BK13,Q13-BK13)</f>
        <v>68</v>
      </c>
      <c r="BS13" s="95">
        <f t="shared" ref="BS13:BW14" si="153">BR13-BL13</f>
        <v>63</v>
      </c>
      <c r="BT13" s="95">
        <f t="shared" si="153"/>
        <v>58</v>
      </c>
      <c r="BU13" s="95">
        <f t="shared" si="153"/>
        <v>53</v>
      </c>
      <c r="BV13" s="95">
        <f t="shared" si="153"/>
        <v>48</v>
      </c>
      <c r="BW13" s="95">
        <f t="shared" si="153"/>
        <v>43</v>
      </c>
      <c r="BX13" s="95">
        <f t="shared" ref="BX13:CO14" si="154">BW13-$BQ13</f>
        <v>38</v>
      </c>
      <c r="BY13" s="95">
        <f t="shared" si="154"/>
        <v>33</v>
      </c>
      <c r="BZ13" s="95">
        <f t="shared" si="154"/>
        <v>28</v>
      </c>
      <c r="CA13" s="95">
        <f t="shared" si="154"/>
        <v>23</v>
      </c>
      <c r="CB13" s="95">
        <f t="shared" si="154"/>
        <v>18</v>
      </c>
      <c r="CC13" s="95">
        <f t="shared" si="154"/>
        <v>13</v>
      </c>
      <c r="CD13" s="95">
        <f t="shared" si="154"/>
        <v>8</v>
      </c>
      <c r="CE13" s="95">
        <f t="shared" si="154"/>
        <v>3</v>
      </c>
      <c r="CF13" s="95">
        <f t="shared" si="154"/>
        <v>-2</v>
      </c>
      <c r="CG13" s="95">
        <f t="shared" si="154"/>
        <v>-7</v>
      </c>
      <c r="CH13" s="95">
        <f t="shared" si="154"/>
        <v>-12</v>
      </c>
      <c r="CI13" s="95">
        <f t="shared" si="154"/>
        <v>-17</v>
      </c>
      <c r="CJ13" s="95">
        <f t="shared" si="154"/>
        <v>-22</v>
      </c>
      <c r="CK13" s="95">
        <f t="shared" si="154"/>
        <v>-27</v>
      </c>
      <c r="CL13" s="95">
        <f t="shared" si="154"/>
        <v>-32</v>
      </c>
      <c r="CM13" s="95">
        <f t="shared" si="154"/>
        <v>-37</v>
      </c>
      <c r="CN13" s="95">
        <f t="shared" si="154"/>
        <v>-42</v>
      </c>
      <c r="CO13" s="95">
        <f t="shared" si="154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55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6">IFERROR(CZ13/CY13,0)</f>
        <v>0</v>
      </c>
      <c r="DB13" s="62">
        <f t="shared" ref="DB13:DB14" si="157">CY13*FH13</f>
        <v>0</v>
      </c>
      <c r="DC13" s="62">
        <f t="shared" ref="DC13:DC14" si="158">CZ13*FH13</f>
        <v>504635.28</v>
      </c>
      <c r="DD13" s="102">
        <f t="shared" ref="DD13:DD14" si="159">IFERROR(DC13/DB13,0)</f>
        <v>0</v>
      </c>
      <c r="DE13" s="31">
        <v>0</v>
      </c>
      <c r="DG13" s="31">
        <v>0</v>
      </c>
      <c r="DH13" s="48">
        <f t="shared" ref="DH13:DH14" si="160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61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62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63">IFERROR(ROUNDUP(DS13/$EX13,0)*$EY13,0)</f>
        <v>34.5</v>
      </c>
      <c r="DV13" s="62">
        <v>8</v>
      </c>
      <c r="DW13" s="62">
        <v>504635.24701030931</v>
      </c>
      <c r="DX13" s="62">
        <f t="shared" ref="DX13:DX14" si="164">$DF13*BK13/30</f>
        <v>0</v>
      </c>
      <c r="DY13" s="62">
        <f t="shared" ref="DY13:DY14" si="165">DX13*$FH13</f>
        <v>0</v>
      </c>
      <c r="DZ13" s="48">
        <f t="shared" ref="DZ13:DZ14" si="166">IFERROR(ROUNDUP(DX13/$EX13,0)*$EY13,0)</f>
        <v>0</v>
      </c>
      <c r="EA13" s="62">
        <f t="shared" ref="EA13:EA14" si="167">$DF13*BL13/30</f>
        <v>0</v>
      </c>
      <c r="EB13" s="62">
        <f t="shared" ref="EB13:EB14" si="168">EA13*$FH13</f>
        <v>0</v>
      </c>
      <c r="EC13" s="48">
        <f t="shared" ref="EC13:EC14" si="169">IFERROR(ROUNDUP(EA13/$EX13,0)*$EY13,0)</f>
        <v>0</v>
      </c>
      <c r="ED13" s="62">
        <f t="shared" ref="ED13:ED14" si="170">$DF13*BM13/30</f>
        <v>0</v>
      </c>
      <c r="EE13" s="62">
        <f t="shared" ref="EE13:EE14" si="171">ED13*$FH13</f>
        <v>0</v>
      </c>
      <c r="EF13" s="48">
        <f t="shared" ref="EF13:EF14" si="172">IFERROR(ROUNDUP(ED13/$EX13,0)*$EY13,0)</f>
        <v>0</v>
      </c>
      <c r="EG13" s="62">
        <f t="shared" ref="EG13:EG14" si="173">$DF13*BN13/30</f>
        <v>0</v>
      </c>
      <c r="EH13" s="62">
        <f t="shared" ref="EH13:EH14" si="174">EG13*$FH13</f>
        <v>0</v>
      </c>
      <c r="EI13" s="48">
        <f t="shared" ref="EI13:EI14" si="175">IFERROR(ROUNDUP(EG13/$EX13,0)*$EY13,0)</f>
        <v>0</v>
      </c>
      <c r="EJ13" s="62">
        <f t="shared" ref="EJ13:EJ14" si="176">$DF13*BO13/30</f>
        <v>0</v>
      </c>
      <c r="EK13" s="62">
        <f t="shared" ref="EK13:EK14" si="177">EJ13*$FH13</f>
        <v>0</v>
      </c>
      <c r="EL13" s="48">
        <f t="shared" ref="EL13:EL14" si="178">IFERROR(ROUNDUP(EJ13/$EX13,0)*$EY13,0)</f>
        <v>0</v>
      </c>
      <c r="EM13" s="62">
        <f t="shared" ref="EM13:EM14" si="179">$DF13*BP13/30</f>
        <v>0</v>
      </c>
      <c r="EN13" s="62">
        <f t="shared" ref="EN13:EN14" si="180">EM13*$FH13</f>
        <v>0</v>
      </c>
      <c r="EO13" s="48">
        <f t="shared" ref="EO13:EO14" si="181">IFERROR(ROUNDUP(EM13/$EX13,0)*$EY13,0)</f>
        <v>0</v>
      </c>
      <c r="EP13" s="62">
        <f t="shared" ref="EP13:ER14" si="182">BK13*$FH13</f>
        <v>315397.05000000005</v>
      </c>
      <c r="EQ13" s="62">
        <f t="shared" si="182"/>
        <v>315397.05000000005</v>
      </c>
      <c r="ER13" s="62">
        <f t="shared" si="182"/>
        <v>315397.05000000005</v>
      </c>
      <c r="ES13" s="62">
        <f t="shared" ref="ES13:EU14" si="183">BN13*$FH13</f>
        <v>315397.05000000005</v>
      </c>
      <c r="ET13" s="62">
        <f t="shared" si="183"/>
        <v>315397.05000000005</v>
      </c>
      <c r="EU13" s="62">
        <f t="shared" si="183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84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 t="shared" si="57"/>
        <v>1</v>
      </c>
      <c r="FS13" s="104" t="b">
        <f t="shared" si="58"/>
        <v>1</v>
      </c>
      <c r="FT13" s="104" t="b">
        <f t="shared" si="59"/>
        <v>1</v>
      </c>
      <c r="FU13" s="104" t="b">
        <f t="shared" si="60"/>
        <v>1</v>
      </c>
      <c r="FV13" s="104" t="b">
        <f t="shared" si="61"/>
        <v>1</v>
      </c>
      <c r="FW13" s="104" t="b">
        <f t="shared" si="66"/>
        <v>0</v>
      </c>
      <c r="FX13" s="104" t="b">
        <f t="shared" ref="FX13:FX14" si="185">EXACT(FQ13,BI13)</f>
        <v>1</v>
      </c>
      <c r="FY13" s="104" t="s">
        <v>214</v>
      </c>
      <c r="FZ13" s="104" t="b">
        <f t="shared" ref="FZ13:FZ14" si="186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7">EXACT(GD13,C13)</f>
        <v>1</v>
      </c>
      <c r="GI13" s="108" t="b">
        <f t="shared" ref="GI13:GI14" si="188">EXACT(GG13,G13)</f>
        <v>0</v>
      </c>
    </row>
    <row r="14" spans="1:191" s="31" customFormat="1" hidden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9"/>
        <v>больше макс</v>
      </c>
      <c r="Q14" s="95">
        <v>361</v>
      </c>
      <c r="R14" s="95">
        <f t="shared" si="130"/>
        <v>31309.530000000002</v>
      </c>
      <c r="S14" s="112">
        <v>361</v>
      </c>
      <c r="T14" s="112">
        <v>31309.530000000002</v>
      </c>
      <c r="U14" s="112">
        <f t="shared" si="131"/>
        <v>0</v>
      </c>
      <c r="V14" s="113">
        <f t="shared" si="132"/>
        <v>361</v>
      </c>
      <c r="W14" s="113">
        <f t="shared" si="133"/>
        <v>31309.530000000002</v>
      </c>
      <c r="X14" s="113">
        <f t="shared" si="134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35"/>
        <v>0</v>
      </c>
      <c r="AF14" s="95">
        <f t="shared" si="136"/>
        <v>0</v>
      </c>
      <c r="AG14" s="114">
        <v>0</v>
      </c>
      <c r="AH14" s="95">
        <f t="shared" si="137"/>
        <v>361</v>
      </c>
      <c r="AI14" s="115">
        <f t="shared" si="138"/>
        <v>31309.530000000002</v>
      </c>
      <c r="AJ14" s="95">
        <f t="shared" si="139"/>
        <v>0</v>
      </c>
      <c r="AK14" s="95">
        <f t="shared" si="140"/>
        <v>0</v>
      </c>
      <c r="AL14" s="95">
        <f t="shared" si="141"/>
        <v>0</v>
      </c>
      <c r="AM14" s="95">
        <f t="shared" si="142"/>
        <v>5</v>
      </c>
      <c r="AN14" s="95">
        <f t="shared" si="143"/>
        <v>2166</v>
      </c>
      <c r="AO14" s="95" t="str">
        <f t="shared" si="144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45"/>
        <v>0-25 более 24</v>
      </c>
      <c r="AW14" s="117">
        <f t="shared" si="146"/>
        <v>31309.530000000002</v>
      </c>
      <c r="AX14" s="14">
        <f t="shared" si="147"/>
        <v>6</v>
      </c>
      <c r="AY14" s="25">
        <f t="shared" si="148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9"/>
        <v>0</v>
      </c>
      <c r="BG14" s="29">
        <v>0</v>
      </c>
      <c r="BH14" s="29">
        <f t="shared" si="150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51"/>
        <v>5</v>
      </c>
      <c r="BR14" s="95">
        <f t="shared" si="152"/>
        <v>361</v>
      </c>
      <c r="BS14" s="95">
        <f t="shared" si="153"/>
        <v>361</v>
      </c>
      <c r="BT14" s="95">
        <f t="shared" si="153"/>
        <v>361</v>
      </c>
      <c r="BU14" s="95">
        <f t="shared" si="153"/>
        <v>361</v>
      </c>
      <c r="BV14" s="95">
        <f t="shared" si="153"/>
        <v>361</v>
      </c>
      <c r="BW14" s="95">
        <f t="shared" si="153"/>
        <v>356</v>
      </c>
      <c r="BX14" s="95">
        <f t="shared" si="154"/>
        <v>351</v>
      </c>
      <c r="BY14" s="95">
        <f t="shared" si="154"/>
        <v>346</v>
      </c>
      <c r="BZ14" s="95">
        <f t="shared" si="154"/>
        <v>341</v>
      </c>
      <c r="CA14" s="95">
        <f t="shared" si="154"/>
        <v>336</v>
      </c>
      <c r="CB14" s="95">
        <f t="shared" si="154"/>
        <v>331</v>
      </c>
      <c r="CC14" s="95">
        <f t="shared" si="154"/>
        <v>326</v>
      </c>
      <c r="CD14" s="95">
        <f t="shared" si="154"/>
        <v>321</v>
      </c>
      <c r="CE14" s="95">
        <f t="shared" si="154"/>
        <v>316</v>
      </c>
      <c r="CF14" s="95">
        <f t="shared" si="154"/>
        <v>311</v>
      </c>
      <c r="CG14" s="95">
        <f t="shared" si="154"/>
        <v>306</v>
      </c>
      <c r="CH14" s="95">
        <f t="shared" si="154"/>
        <v>301</v>
      </c>
      <c r="CI14" s="95">
        <f t="shared" si="154"/>
        <v>296</v>
      </c>
      <c r="CJ14" s="95">
        <f t="shared" si="154"/>
        <v>291</v>
      </c>
      <c r="CK14" s="95">
        <f t="shared" si="154"/>
        <v>286</v>
      </c>
      <c r="CL14" s="95">
        <f t="shared" si="154"/>
        <v>281</v>
      </c>
      <c r="CM14" s="95">
        <f t="shared" si="154"/>
        <v>276</v>
      </c>
      <c r="CN14" s="95">
        <f t="shared" si="154"/>
        <v>271</v>
      </c>
      <c r="CO14" s="95">
        <f t="shared" si="154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55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6"/>
        <v>0</v>
      </c>
      <c r="DB14" s="62">
        <f t="shared" si="157"/>
        <v>0</v>
      </c>
      <c r="DC14" s="62">
        <f t="shared" si="158"/>
        <v>0</v>
      </c>
      <c r="DD14" s="102">
        <f t="shared" si="159"/>
        <v>0</v>
      </c>
      <c r="DE14" s="31">
        <v>0</v>
      </c>
      <c r="DF14" s="31">
        <v>90</v>
      </c>
      <c r="DG14" s="31">
        <v>0</v>
      </c>
      <c r="DH14" s="48">
        <f t="shared" si="160"/>
        <v>0</v>
      </c>
      <c r="DI14" s="62">
        <v>361</v>
      </c>
      <c r="DJ14" s="62">
        <v>31309.83</v>
      </c>
      <c r="DK14" s="48">
        <f t="shared" si="161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62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63"/>
        <v>0</v>
      </c>
      <c r="DV14" s="62">
        <v>0</v>
      </c>
      <c r="DW14" s="62">
        <v>0</v>
      </c>
      <c r="DX14" s="62">
        <f t="shared" si="164"/>
        <v>0</v>
      </c>
      <c r="DY14" s="62">
        <f t="shared" si="165"/>
        <v>0</v>
      </c>
      <c r="DZ14" s="48">
        <f t="shared" si="166"/>
        <v>0</v>
      </c>
      <c r="EA14" s="62">
        <f t="shared" si="167"/>
        <v>0</v>
      </c>
      <c r="EB14" s="62">
        <f t="shared" si="168"/>
        <v>0</v>
      </c>
      <c r="EC14" s="48">
        <f t="shared" si="169"/>
        <v>0</v>
      </c>
      <c r="ED14" s="62">
        <f t="shared" si="170"/>
        <v>0</v>
      </c>
      <c r="EE14" s="62">
        <f t="shared" si="171"/>
        <v>0</v>
      </c>
      <c r="EF14" s="48">
        <f t="shared" si="172"/>
        <v>0</v>
      </c>
      <c r="EG14" s="62">
        <f t="shared" si="173"/>
        <v>0</v>
      </c>
      <c r="EH14" s="62">
        <f t="shared" si="174"/>
        <v>0</v>
      </c>
      <c r="EI14" s="48">
        <f t="shared" si="175"/>
        <v>0</v>
      </c>
      <c r="EJ14" s="62">
        <f t="shared" si="176"/>
        <v>0</v>
      </c>
      <c r="EK14" s="62">
        <f t="shared" si="177"/>
        <v>0</v>
      </c>
      <c r="EL14" s="48">
        <f t="shared" si="178"/>
        <v>0</v>
      </c>
      <c r="EM14" s="62">
        <f t="shared" si="179"/>
        <v>15</v>
      </c>
      <c r="EN14" s="62">
        <f t="shared" si="180"/>
        <v>1300.95</v>
      </c>
      <c r="EO14" s="48">
        <f t="shared" si="181"/>
        <v>0</v>
      </c>
      <c r="EP14" s="62">
        <f t="shared" si="182"/>
        <v>0</v>
      </c>
      <c r="EQ14" s="62">
        <f t="shared" si="182"/>
        <v>0</v>
      </c>
      <c r="ER14" s="62">
        <f t="shared" si="182"/>
        <v>0</v>
      </c>
      <c r="ES14" s="62">
        <f t="shared" si="183"/>
        <v>0</v>
      </c>
      <c r="ET14" s="62">
        <f t="shared" si="183"/>
        <v>0</v>
      </c>
      <c r="EU14" s="62">
        <f t="shared" si="183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84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 t="shared" si="57"/>
        <v>1</v>
      </c>
      <c r="FS14" s="103" t="b">
        <f t="shared" si="58"/>
        <v>1</v>
      </c>
      <c r="FT14" s="103" t="b">
        <f t="shared" si="59"/>
        <v>1</v>
      </c>
      <c r="FU14" s="103" t="b">
        <f t="shared" si="60"/>
        <v>0</v>
      </c>
      <c r="FV14" s="103" t="b">
        <f t="shared" si="61"/>
        <v>1</v>
      </c>
      <c r="FW14" s="104" t="b">
        <f t="shared" si="66"/>
        <v>0</v>
      </c>
      <c r="FX14" s="120" t="b">
        <f t="shared" si="185"/>
        <v>1</v>
      </c>
      <c r="FY14" s="104" t="s">
        <v>214</v>
      </c>
      <c r="FZ14" s="104" t="b">
        <f t="shared" si="186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7"/>
        <v>1</v>
      </c>
      <c r="GI14" s="8" t="b">
        <f t="shared" si="188"/>
        <v>0</v>
      </c>
    </row>
    <row r="15" spans="1:191" s="31" customFormat="1" ht="30" hidden="1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9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90">Q15*FH15</f>
        <v>5461583.8200000003</v>
      </c>
      <c r="S15" s="94">
        <v>74</v>
      </c>
      <c r="T15" s="94">
        <v>3216126.58</v>
      </c>
      <c r="U15" s="94">
        <f t="shared" ref="U15:U20" si="191">IFERROR(ROUNDUP(S15/$EX15,0)*$EY15,0)</f>
        <v>28.5</v>
      </c>
      <c r="V15" s="94">
        <f t="shared" ref="V15:V20" si="192">SUM(Z15:AD15)</f>
        <v>69</v>
      </c>
      <c r="W15" s="94">
        <f t="shared" ref="W15:W20" si="193">V15*FH15</f>
        <v>2833453.2600000002</v>
      </c>
      <c r="X15" s="94">
        <f t="shared" ref="X15:X20" si="194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95">AA15*FH15</f>
        <v>0</v>
      </c>
      <c r="AF15" s="95">
        <f t="shared" ref="AF15:AF20" si="196">AB15*FH15</f>
        <v>0</v>
      </c>
      <c r="AG15" s="96">
        <v>96</v>
      </c>
      <c r="AH15" s="95">
        <f t="shared" ref="AH15:AH20" si="197">V15-AG15</f>
        <v>-27</v>
      </c>
      <c r="AI15" s="94">
        <f t="shared" ref="AI15:AI20" si="198">IF(AH15&gt;0,AH15*FH15,0)</f>
        <v>0</v>
      </c>
      <c r="AJ15" s="94">
        <f t="shared" ref="AJ15:AJ20" si="199">CU15</f>
        <v>49</v>
      </c>
      <c r="AK15" s="94">
        <f t="shared" ref="AK15:AK20" si="200">SUM(CS15:CU15)</f>
        <v>195</v>
      </c>
      <c r="AL15" s="94">
        <f t="shared" ref="AL15:AL20" si="201">SUM(CP15:CU15)</f>
        <v>363</v>
      </c>
      <c r="AM15" s="94">
        <f t="shared" ref="AM15:AM20" si="202">SUM(BK15:BP15)</f>
        <v>246</v>
      </c>
      <c r="AN15" s="94">
        <f t="shared" ref="AN15:AN20" si="203">IFERROR(S15/BQ15*30,"нет оборота")</f>
        <v>54.146341463414636</v>
      </c>
      <c r="AO15" s="94" t="str">
        <f t="shared" ref="AO15:AO20" si="204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205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6">IF(AT15="Да",W15,0)</f>
        <v>2833453.2600000002</v>
      </c>
      <c r="AX15" s="14">
        <f t="shared" ref="AX15:AX16" si="207">MONTH(BC15)-6</f>
        <v>2</v>
      </c>
      <c r="AY15" s="94">
        <f t="shared" ref="AY15:AY20" si="208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9">BE15*FH15</f>
        <v>0</v>
      </c>
      <c r="BG15" s="29">
        <v>0</v>
      </c>
      <c r="BH15" s="29">
        <f t="shared" ref="BH15:BH20" si="210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11">IF(COUNTIF(BK15:BP15,"&gt;0")=0,0,SUM(BK15:BP15)/COUNTIF(BK15:BP15,"&gt;0"))</f>
        <v>41</v>
      </c>
      <c r="BR15" s="95">
        <f t="shared" ref="BR15:BR20" si="212">IF(OR(Q15=0,SUM(BK15:BP15)=0,V15&gt;Q15),V15-BK15,Q15-BK15)</f>
        <v>92</v>
      </c>
      <c r="BS15" s="95">
        <f t="shared" ref="BS15:BW20" si="213">BR15-BL15</f>
        <v>51</v>
      </c>
      <c r="BT15" s="95">
        <f t="shared" si="213"/>
        <v>10</v>
      </c>
      <c r="BU15" s="95">
        <f t="shared" si="213"/>
        <v>-31</v>
      </c>
      <c r="BV15" s="95">
        <f t="shared" si="213"/>
        <v>-72</v>
      </c>
      <c r="BW15" s="95">
        <f t="shared" si="213"/>
        <v>-113</v>
      </c>
      <c r="BX15" s="95">
        <f t="shared" ref="BX15:CO16" si="214">BW15-$BQ15</f>
        <v>-154</v>
      </c>
      <c r="BY15" s="95">
        <f t="shared" si="214"/>
        <v>-195</v>
      </c>
      <c r="BZ15" s="95">
        <f t="shared" si="214"/>
        <v>-236</v>
      </c>
      <c r="CA15" s="95">
        <f t="shared" si="214"/>
        <v>-277</v>
      </c>
      <c r="CB15" s="95">
        <f t="shared" si="214"/>
        <v>-318</v>
      </c>
      <c r="CC15" s="95">
        <f t="shared" si="214"/>
        <v>-359</v>
      </c>
      <c r="CD15" s="95">
        <f t="shared" si="214"/>
        <v>-400</v>
      </c>
      <c r="CE15" s="95">
        <f t="shared" si="214"/>
        <v>-441</v>
      </c>
      <c r="CF15" s="95">
        <f t="shared" si="214"/>
        <v>-482</v>
      </c>
      <c r="CG15" s="95">
        <f t="shared" si="214"/>
        <v>-523</v>
      </c>
      <c r="CH15" s="95">
        <f t="shared" si="214"/>
        <v>-564</v>
      </c>
      <c r="CI15" s="95">
        <f t="shared" si="214"/>
        <v>-605</v>
      </c>
      <c r="CJ15" s="95">
        <f t="shared" si="214"/>
        <v>-646</v>
      </c>
      <c r="CK15" s="95">
        <f t="shared" si="214"/>
        <v>-687</v>
      </c>
      <c r="CL15" s="95">
        <f t="shared" si="214"/>
        <v>-728</v>
      </c>
      <c r="CM15" s="95">
        <f t="shared" si="214"/>
        <v>-769</v>
      </c>
      <c r="CN15" s="95">
        <f t="shared" si="214"/>
        <v>-810</v>
      </c>
      <c r="CO15" s="95">
        <f t="shared" si="214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15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6">IFERROR(CZ15/CY15,0)</f>
        <v>1</v>
      </c>
      <c r="DB15" s="62">
        <f t="shared" ref="DB15:DB20" si="217">CY15*FH15</f>
        <v>3695808.6000000006</v>
      </c>
      <c r="DC15" s="62">
        <f t="shared" ref="DC15:DC20" si="218">CZ15*FH15</f>
        <v>3695808.6000000006</v>
      </c>
      <c r="DD15" s="102">
        <f t="shared" ref="DD15:DD20" si="219">IFERROR(DC15/DB15,0)</f>
        <v>1</v>
      </c>
      <c r="DE15" s="31">
        <v>0</v>
      </c>
      <c r="DG15" s="31">
        <v>0</v>
      </c>
      <c r="DH15" s="48">
        <f t="shared" ref="DH15:DH20" si="220">IFERROR(ROUNDUP(DG15/$EX15,0)*$EY15,0)</f>
        <v>0</v>
      </c>
      <c r="DI15" s="62">
        <v>121.548</v>
      </c>
      <c r="DJ15" s="62">
        <v>5247502.2299999995</v>
      </c>
      <c r="DK15" s="48">
        <f t="shared" ref="DK15:DK20" si="221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22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23">IFERROR(ROUNDUP(DS15/$EX15,0)*$EY15,0)</f>
        <v>48</v>
      </c>
      <c r="DV15" s="62">
        <v>90</v>
      </c>
      <c r="DW15" s="62">
        <v>3911670.1004854366</v>
      </c>
      <c r="DX15" s="62">
        <f t="shared" ref="DX15:DX20" si="224">$DF15*BK15/30</f>
        <v>0</v>
      </c>
      <c r="DY15" s="62">
        <f t="shared" ref="DY15:DY20" si="225">DX15*$FH15</f>
        <v>0</v>
      </c>
      <c r="DZ15" s="48">
        <f t="shared" ref="DZ15:DZ20" si="226">IFERROR(ROUNDUP(DX15/$EX15,0)*$EY15,0)</f>
        <v>0</v>
      </c>
      <c r="EA15" s="62">
        <f t="shared" ref="EA15:EA20" si="227">$DF15*BL15/30</f>
        <v>0</v>
      </c>
      <c r="EB15" s="62">
        <f t="shared" ref="EB15:EB20" si="228">EA15*$FH15</f>
        <v>0</v>
      </c>
      <c r="EC15" s="48">
        <f t="shared" ref="EC15:EC20" si="229">IFERROR(ROUNDUP(EA15/$EX15,0)*$EY15,0)</f>
        <v>0</v>
      </c>
      <c r="ED15" s="62">
        <f t="shared" ref="ED15:ED20" si="230">$DF15*BM15/30</f>
        <v>0</v>
      </c>
      <c r="EE15" s="62">
        <f t="shared" ref="EE15:EE20" si="231">ED15*$FH15</f>
        <v>0</v>
      </c>
      <c r="EF15" s="48">
        <f t="shared" ref="EF15:EF20" si="232">IFERROR(ROUNDUP(ED15/$EX15,0)*$EY15,0)</f>
        <v>0</v>
      </c>
      <c r="EG15" s="62">
        <f t="shared" ref="EG15:EG20" si="233">$DF15*BN15/30</f>
        <v>0</v>
      </c>
      <c r="EH15" s="62">
        <f t="shared" ref="EH15:EH20" si="234">EG15*$FH15</f>
        <v>0</v>
      </c>
      <c r="EI15" s="48">
        <f t="shared" ref="EI15:EI20" si="235">IFERROR(ROUNDUP(EG15/$EX15,0)*$EY15,0)</f>
        <v>0</v>
      </c>
      <c r="EJ15" s="62">
        <f t="shared" ref="EJ15:EJ20" si="236">$DF15*BO15/30</f>
        <v>0</v>
      </c>
      <c r="EK15" s="62">
        <f t="shared" ref="EK15:EK20" si="237">EJ15*$FH15</f>
        <v>0</v>
      </c>
      <c r="EL15" s="48">
        <f t="shared" ref="EL15:EL20" si="238">IFERROR(ROUNDUP(EJ15/$EX15,0)*$EY15,0)</f>
        <v>0</v>
      </c>
      <c r="EM15" s="62">
        <f t="shared" ref="EM15:EM20" si="239">$DF15*BP15/30</f>
        <v>0</v>
      </c>
      <c r="EN15" s="62">
        <f t="shared" ref="EN15:EN20" si="240">EM15*$FH15</f>
        <v>0</v>
      </c>
      <c r="EO15" s="48">
        <f t="shared" ref="EO15:EO20" si="241">IFERROR(ROUNDUP(EM15/$EX15,0)*$EY15,0)</f>
        <v>0</v>
      </c>
      <c r="EP15" s="62">
        <f t="shared" ref="EP15:ER20" si="242">BK15*$FH15</f>
        <v>1683646.1400000001</v>
      </c>
      <c r="EQ15" s="62">
        <f t="shared" si="242"/>
        <v>1683646.1400000001</v>
      </c>
      <c r="ER15" s="62">
        <f t="shared" si="242"/>
        <v>1683646.1400000001</v>
      </c>
      <c r="ES15" s="62">
        <f t="shared" ref="ES15:EU20" si="243">BN15*$FH15</f>
        <v>1683646.1400000001</v>
      </c>
      <c r="ET15" s="62">
        <f t="shared" si="243"/>
        <v>1683646.1400000001</v>
      </c>
      <c r="EU15" s="62">
        <f t="shared" si="243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44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 t="shared" si="57"/>
        <v>1</v>
      </c>
      <c r="FS15" s="104" t="b">
        <f t="shared" si="58"/>
        <v>1</v>
      </c>
      <c r="FT15" s="104" t="b">
        <f t="shared" si="59"/>
        <v>1</v>
      </c>
      <c r="FU15" s="104" t="b">
        <f t="shared" si="60"/>
        <v>0</v>
      </c>
      <c r="FV15" s="104" t="b">
        <f t="shared" si="61"/>
        <v>1</v>
      </c>
      <c r="FW15" s="104" t="b">
        <f t="shared" si="66"/>
        <v>0</v>
      </c>
      <c r="FX15" s="104" t="b">
        <f t="shared" ref="FX15:FX20" si="245">EXACT(FQ15,BI15)</f>
        <v>1</v>
      </c>
      <c r="FY15" s="104" t="s">
        <v>214</v>
      </c>
      <c r="FZ15" s="104" t="b">
        <f t="shared" ref="FZ15:FZ20" si="246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7">EXACT(GD15,C15)</f>
        <v>1</v>
      </c>
      <c r="GI15" s="108" t="b">
        <f t="shared" ref="GI15:GI20" si="248">EXACT(GG15,G15)</f>
        <v>0</v>
      </c>
    </row>
    <row r="16" spans="1:191" s="31" customFormat="1" ht="30" hidden="1" x14ac:dyDescent="0.25">
      <c r="A16" s="109">
        <v>155831</v>
      </c>
      <c r="B16" s="109">
        <v>979887</v>
      </c>
      <c r="C16" s="110" t="s">
        <v>214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9"/>
        <v>больше макс</v>
      </c>
      <c r="Q16" s="95">
        <v>566</v>
      </c>
      <c r="R16" s="95">
        <f t="shared" si="190"/>
        <v>20602.399999999998</v>
      </c>
      <c r="S16" s="112">
        <v>902</v>
      </c>
      <c r="T16" s="112">
        <v>32832.799999999996</v>
      </c>
      <c r="U16" s="112">
        <f t="shared" si="191"/>
        <v>0</v>
      </c>
      <c r="V16" s="113">
        <f t="shared" si="192"/>
        <v>271</v>
      </c>
      <c r="W16" s="113">
        <f t="shared" si="193"/>
        <v>9864.4</v>
      </c>
      <c r="X16" s="113">
        <f t="shared" si="194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95"/>
        <v>0</v>
      </c>
      <c r="AF16" s="95">
        <f t="shared" si="196"/>
        <v>0</v>
      </c>
      <c r="AG16" s="114">
        <v>0</v>
      </c>
      <c r="AH16" s="95">
        <f t="shared" si="197"/>
        <v>271</v>
      </c>
      <c r="AI16" s="115">
        <f t="shared" si="198"/>
        <v>9864.4</v>
      </c>
      <c r="AJ16" s="95">
        <f t="shared" si="199"/>
        <v>234</v>
      </c>
      <c r="AK16" s="95">
        <f t="shared" si="200"/>
        <v>338</v>
      </c>
      <c r="AL16" s="95">
        <f t="shared" si="201"/>
        <v>818</v>
      </c>
      <c r="AM16" s="95">
        <f t="shared" si="202"/>
        <v>446</v>
      </c>
      <c r="AN16" s="95">
        <f t="shared" si="203"/>
        <v>364.03587443946191</v>
      </c>
      <c r="AO16" s="95" t="str">
        <f t="shared" si="204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205"/>
        <v>0-08</v>
      </c>
      <c r="AW16" s="117">
        <f t="shared" si="206"/>
        <v>9864.4</v>
      </c>
      <c r="AX16" s="14">
        <f t="shared" si="207"/>
        <v>6</v>
      </c>
      <c r="AY16" s="25">
        <f t="shared" si="208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9"/>
        <v>0</v>
      </c>
      <c r="BG16" s="29">
        <v>0</v>
      </c>
      <c r="BH16" s="29">
        <f t="shared" si="210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11"/>
        <v>74.333333333333329</v>
      </c>
      <c r="BR16" s="95">
        <f t="shared" si="212"/>
        <v>514</v>
      </c>
      <c r="BS16" s="95">
        <f t="shared" si="213"/>
        <v>448</v>
      </c>
      <c r="BT16" s="95">
        <f t="shared" si="213"/>
        <v>366</v>
      </c>
      <c r="BU16" s="95">
        <f t="shared" si="213"/>
        <v>284</v>
      </c>
      <c r="BV16" s="95">
        <f t="shared" si="213"/>
        <v>202</v>
      </c>
      <c r="BW16" s="95">
        <f t="shared" si="213"/>
        <v>120</v>
      </c>
      <c r="BX16" s="95">
        <f t="shared" si="214"/>
        <v>45.666666666666671</v>
      </c>
      <c r="BY16" s="95">
        <f t="shared" si="214"/>
        <v>-28.666666666666657</v>
      </c>
      <c r="BZ16" s="95">
        <f t="shared" si="214"/>
        <v>-102.99999999999999</v>
      </c>
      <c r="CA16" s="95">
        <f t="shared" si="214"/>
        <v>-177.33333333333331</v>
      </c>
      <c r="CB16" s="95">
        <f t="shared" si="214"/>
        <v>-251.66666666666663</v>
      </c>
      <c r="CC16" s="95">
        <f t="shared" si="214"/>
        <v>-325.99999999999994</v>
      </c>
      <c r="CD16" s="95">
        <f t="shared" si="214"/>
        <v>-400.33333333333326</v>
      </c>
      <c r="CE16" s="95">
        <f t="shared" si="214"/>
        <v>-474.66666666666657</v>
      </c>
      <c r="CF16" s="95">
        <f t="shared" si="214"/>
        <v>-548.99999999999989</v>
      </c>
      <c r="CG16" s="95">
        <f t="shared" si="214"/>
        <v>-623.33333333333326</v>
      </c>
      <c r="CH16" s="95">
        <f t="shared" si="214"/>
        <v>-697.66666666666663</v>
      </c>
      <c r="CI16" s="95">
        <f t="shared" si="214"/>
        <v>-772</v>
      </c>
      <c r="CJ16" s="95">
        <f t="shared" si="214"/>
        <v>-846.33333333333337</v>
      </c>
      <c r="CK16" s="95">
        <f t="shared" si="214"/>
        <v>-920.66666666666674</v>
      </c>
      <c r="CL16" s="95">
        <f t="shared" si="214"/>
        <v>-995.00000000000011</v>
      </c>
      <c r="CM16" s="95">
        <f t="shared" si="214"/>
        <v>-1069.3333333333335</v>
      </c>
      <c r="CN16" s="95">
        <f t="shared" si="214"/>
        <v>-1143.6666666666667</v>
      </c>
      <c r="CO16" s="95">
        <f t="shared" si="214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15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6"/>
        <v>0</v>
      </c>
      <c r="DB16" s="62">
        <f t="shared" si="217"/>
        <v>0</v>
      </c>
      <c r="DC16" s="62">
        <f t="shared" si="218"/>
        <v>0</v>
      </c>
      <c r="DD16" s="102">
        <f t="shared" si="219"/>
        <v>0</v>
      </c>
      <c r="DE16" s="31">
        <v>0</v>
      </c>
      <c r="DF16" s="31">
        <v>90</v>
      </c>
      <c r="DG16" s="31">
        <v>0</v>
      </c>
      <c r="DH16" s="48">
        <f t="shared" si="220"/>
        <v>0</v>
      </c>
      <c r="DI16" s="62">
        <v>1133.097</v>
      </c>
      <c r="DJ16" s="62">
        <v>41240.342000000004</v>
      </c>
      <c r="DK16" s="48">
        <f t="shared" si="221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22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23"/>
        <v>0</v>
      </c>
      <c r="DV16" s="62">
        <v>0</v>
      </c>
      <c r="DW16" s="62">
        <v>0</v>
      </c>
      <c r="DX16" s="62">
        <f t="shared" si="224"/>
        <v>156</v>
      </c>
      <c r="DY16" s="62">
        <f t="shared" si="225"/>
        <v>5678.4</v>
      </c>
      <c r="DZ16" s="48">
        <f t="shared" si="226"/>
        <v>0</v>
      </c>
      <c r="EA16" s="62">
        <f t="shared" si="227"/>
        <v>198</v>
      </c>
      <c r="EB16" s="62">
        <f t="shared" si="228"/>
        <v>7207.2</v>
      </c>
      <c r="EC16" s="48">
        <f t="shared" si="229"/>
        <v>0</v>
      </c>
      <c r="ED16" s="62">
        <f t="shared" si="230"/>
        <v>246</v>
      </c>
      <c r="EE16" s="62">
        <f t="shared" si="231"/>
        <v>8954.4</v>
      </c>
      <c r="EF16" s="48">
        <f t="shared" si="232"/>
        <v>0</v>
      </c>
      <c r="EG16" s="62">
        <f t="shared" si="233"/>
        <v>246</v>
      </c>
      <c r="EH16" s="62">
        <f t="shared" si="234"/>
        <v>8954.4</v>
      </c>
      <c r="EI16" s="48">
        <f t="shared" si="235"/>
        <v>0</v>
      </c>
      <c r="EJ16" s="62">
        <f t="shared" si="236"/>
        <v>246</v>
      </c>
      <c r="EK16" s="62">
        <f t="shared" si="237"/>
        <v>8954.4</v>
      </c>
      <c r="EL16" s="48">
        <f t="shared" si="238"/>
        <v>0</v>
      </c>
      <c r="EM16" s="62">
        <f t="shared" si="239"/>
        <v>246</v>
      </c>
      <c r="EN16" s="62">
        <f t="shared" si="240"/>
        <v>8954.4</v>
      </c>
      <c r="EO16" s="48">
        <f t="shared" si="241"/>
        <v>0</v>
      </c>
      <c r="EP16" s="62">
        <f t="shared" si="242"/>
        <v>1892.8</v>
      </c>
      <c r="EQ16" s="62">
        <f t="shared" si="242"/>
        <v>2402.4</v>
      </c>
      <c r="ER16" s="62">
        <f t="shared" si="242"/>
        <v>2984.7999999999997</v>
      </c>
      <c r="ES16" s="62">
        <f t="shared" si="243"/>
        <v>2984.7999999999997</v>
      </c>
      <c r="ET16" s="62">
        <f t="shared" si="243"/>
        <v>2984.7999999999997</v>
      </c>
      <c r="EU16" s="62">
        <f t="shared" si="243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44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 t="shared" si="57"/>
        <v>1</v>
      </c>
      <c r="FS16" s="103" t="b">
        <f t="shared" si="58"/>
        <v>1</v>
      </c>
      <c r="FT16" s="103" t="b">
        <f t="shared" si="59"/>
        <v>1</v>
      </c>
      <c r="FU16" s="103" t="b">
        <f t="shared" si="60"/>
        <v>0</v>
      </c>
      <c r="FV16" s="103" t="b">
        <f t="shared" si="61"/>
        <v>1</v>
      </c>
      <c r="FW16" s="104" t="b">
        <f t="shared" si="66"/>
        <v>0</v>
      </c>
      <c r="FX16" s="120" t="b">
        <f t="shared" si="245"/>
        <v>1</v>
      </c>
      <c r="FY16" s="104" t="s">
        <v>214</v>
      </c>
      <c r="FZ16" s="104" t="b">
        <f t="shared" si="246"/>
        <v>1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7"/>
        <v>1</v>
      </c>
      <c r="GI16" s="8" t="b">
        <f t="shared" si="248"/>
        <v>0</v>
      </c>
    </row>
    <row r="17" spans="1:191" s="31" customFormat="1" ht="45" hidden="1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9"/>
        <v>нет минмакс</v>
      </c>
      <c r="Q17" s="95">
        <v>1917</v>
      </c>
      <c r="R17" s="95">
        <f t="shared" si="190"/>
        <v>3153081.6</v>
      </c>
      <c r="S17" s="94">
        <v>1917</v>
      </c>
      <c r="T17" s="94">
        <v>3149611.83</v>
      </c>
      <c r="U17" s="94">
        <f t="shared" si="191"/>
        <v>14</v>
      </c>
      <c r="V17" s="94">
        <f t="shared" si="192"/>
        <v>1881</v>
      </c>
      <c r="W17" s="94">
        <f t="shared" si="193"/>
        <v>3093868.8</v>
      </c>
      <c r="X17" s="94">
        <f t="shared" si="194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95"/>
        <v>0</v>
      </c>
      <c r="AF17" s="95">
        <f t="shared" si="196"/>
        <v>152966.39999999999</v>
      </c>
      <c r="AG17" s="96">
        <v>0</v>
      </c>
      <c r="AH17" s="95">
        <f t="shared" si="197"/>
        <v>1881</v>
      </c>
      <c r="AI17" s="94">
        <f t="shared" si="198"/>
        <v>3093868.8</v>
      </c>
      <c r="AJ17" s="94">
        <f t="shared" si="199"/>
        <v>36</v>
      </c>
      <c r="AK17" s="94">
        <f t="shared" si="200"/>
        <v>79</v>
      </c>
      <c r="AL17" s="94">
        <f t="shared" si="201"/>
        <v>2173</v>
      </c>
      <c r="AM17" s="94">
        <f t="shared" si="202"/>
        <v>3360</v>
      </c>
      <c r="AN17" s="94">
        <f t="shared" si="203"/>
        <v>102.69642857142857</v>
      </c>
      <c r="AO17" s="94" t="str">
        <f t="shared" si="204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205"/>
        <v>0-04</v>
      </c>
      <c r="AW17" s="98">
        <f t="shared" si="206"/>
        <v>3093868.8</v>
      </c>
      <c r="AX17" s="14">
        <f t="shared" ref="AX17:AX20" si="249">MONTH(BC17)-6</f>
        <v>3</v>
      </c>
      <c r="AY17" s="94">
        <f t="shared" si="208"/>
        <v>0</v>
      </c>
      <c r="AZ17" s="93" t="s">
        <v>1010</v>
      </c>
      <c r="BA17" s="26" t="s">
        <v>201</v>
      </c>
      <c r="BB17" s="26" t="s">
        <v>269</v>
      </c>
      <c r="BC17" s="27">
        <v>45901</v>
      </c>
      <c r="BD17" s="28"/>
      <c r="BE17" s="29">
        <v>0</v>
      </c>
      <c r="BF17" s="29">
        <f t="shared" si="209"/>
        <v>0</v>
      </c>
      <c r="BG17" s="29">
        <v>0</v>
      </c>
      <c r="BH17" s="29">
        <f t="shared" si="210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11"/>
        <v>560</v>
      </c>
      <c r="BR17" s="95">
        <f t="shared" si="212"/>
        <v>1357</v>
      </c>
      <c r="BS17" s="95">
        <f t="shared" si="213"/>
        <v>797</v>
      </c>
      <c r="BT17" s="95">
        <f t="shared" si="213"/>
        <v>237</v>
      </c>
      <c r="BU17" s="95">
        <f t="shared" si="213"/>
        <v>-323</v>
      </c>
      <c r="BV17" s="95">
        <f t="shared" si="213"/>
        <v>-883</v>
      </c>
      <c r="BW17" s="95">
        <f t="shared" si="213"/>
        <v>-1443</v>
      </c>
      <c r="BX17" s="95">
        <f t="shared" ref="BX17:CO20" si="250">BW17-$BQ17</f>
        <v>-2003</v>
      </c>
      <c r="BY17" s="95">
        <f t="shared" si="250"/>
        <v>-2563</v>
      </c>
      <c r="BZ17" s="95">
        <f t="shared" si="250"/>
        <v>-3123</v>
      </c>
      <c r="CA17" s="95">
        <f t="shared" si="250"/>
        <v>-3683</v>
      </c>
      <c r="CB17" s="95">
        <f t="shared" si="250"/>
        <v>-4243</v>
      </c>
      <c r="CC17" s="95">
        <f t="shared" si="250"/>
        <v>-4803</v>
      </c>
      <c r="CD17" s="95">
        <f t="shared" si="250"/>
        <v>-5363</v>
      </c>
      <c r="CE17" s="95">
        <f t="shared" si="250"/>
        <v>-5923</v>
      </c>
      <c r="CF17" s="95">
        <f t="shared" si="250"/>
        <v>-6483</v>
      </c>
      <c r="CG17" s="95">
        <f t="shared" si="250"/>
        <v>-7043</v>
      </c>
      <c r="CH17" s="95">
        <f t="shared" si="250"/>
        <v>-7603</v>
      </c>
      <c r="CI17" s="95">
        <f t="shared" si="250"/>
        <v>-8163</v>
      </c>
      <c r="CJ17" s="95">
        <f t="shared" si="250"/>
        <v>-8723</v>
      </c>
      <c r="CK17" s="95">
        <f t="shared" si="250"/>
        <v>-9283</v>
      </c>
      <c r="CL17" s="95">
        <f t="shared" si="250"/>
        <v>-9843</v>
      </c>
      <c r="CM17" s="95">
        <f t="shared" si="250"/>
        <v>-10403</v>
      </c>
      <c r="CN17" s="95">
        <f t="shared" si="250"/>
        <v>-10963</v>
      </c>
      <c r="CO17" s="95">
        <f t="shared" si="250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15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6"/>
        <v>9.9152542372881361E-2</v>
      </c>
      <c r="DB17" s="62">
        <f t="shared" si="217"/>
        <v>597188.92307692301</v>
      </c>
      <c r="DC17" s="62">
        <f t="shared" si="218"/>
        <v>59212.799999999996</v>
      </c>
      <c r="DD17" s="102">
        <f t="shared" si="219"/>
        <v>9.9152542372881361E-2</v>
      </c>
      <c r="DE17" s="31">
        <v>0</v>
      </c>
      <c r="DG17" s="31">
        <v>0</v>
      </c>
      <c r="DH17" s="48">
        <f t="shared" si="220"/>
        <v>0</v>
      </c>
      <c r="DI17" s="62">
        <v>1690.9679999999998</v>
      </c>
      <c r="DJ17" s="62">
        <v>2547706.298</v>
      </c>
      <c r="DK17" s="48">
        <f t="shared" si="221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22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23"/>
        <v>14</v>
      </c>
      <c r="DV17" s="62">
        <v>36</v>
      </c>
      <c r="DW17" s="62">
        <v>54239.76</v>
      </c>
      <c r="DX17" s="62">
        <f t="shared" si="224"/>
        <v>0</v>
      </c>
      <c r="DY17" s="62">
        <f t="shared" si="225"/>
        <v>0</v>
      </c>
      <c r="DZ17" s="48">
        <f t="shared" si="226"/>
        <v>0</v>
      </c>
      <c r="EA17" s="62">
        <f t="shared" si="227"/>
        <v>0</v>
      </c>
      <c r="EB17" s="62">
        <f t="shared" si="228"/>
        <v>0</v>
      </c>
      <c r="EC17" s="48">
        <f t="shared" si="229"/>
        <v>0</v>
      </c>
      <c r="ED17" s="62">
        <f t="shared" si="230"/>
        <v>0</v>
      </c>
      <c r="EE17" s="62">
        <f t="shared" si="231"/>
        <v>0</v>
      </c>
      <c r="EF17" s="48">
        <f t="shared" si="232"/>
        <v>0</v>
      </c>
      <c r="EG17" s="62">
        <f t="shared" si="233"/>
        <v>0</v>
      </c>
      <c r="EH17" s="62">
        <f t="shared" si="234"/>
        <v>0</v>
      </c>
      <c r="EI17" s="48">
        <f t="shared" si="235"/>
        <v>0</v>
      </c>
      <c r="EJ17" s="62">
        <f t="shared" si="236"/>
        <v>0</v>
      </c>
      <c r="EK17" s="62">
        <f t="shared" si="237"/>
        <v>0</v>
      </c>
      <c r="EL17" s="48">
        <f t="shared" si="238"/>
        <v>0</v>
      </c>
      <c r="EM17" s="62">
        <f t="shared" si="239"/>
        <v>0</v>
      </c>
      <c r="EN17" s="62">
        <f t="shared" si="240"/>
        <v>0</v>
      </c>
      <c r="EO17" s="48">
        <f t="shared" si="241"/>
        <v>0</v>
      </c>
      <c r="EP17" s="62">
        <f t="shared" si="242"/>
        <v>921088</v>
      </c>
      <c r="EQ17" s="62">
        <f t="shared" si="242"/>
        <v>921088</v>
      </c>
      <c r="ER17" s="62">
        <f t="shared" si="242"/>
        <v>921088</v>
      </c>
      <c r="ES17" s="62">
        <f t="shared" si="243"/>
        <v>921088</v>
      </c>
      <c r="ET17" s="62">
        <f t="shared" si="243"/>
        <v>921088</v>
      </c>
      <c r="EU17" s="62">
        <f t="shared" si="243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44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 t="shared" si="57"/>
        <v>1</v>
      </c>
      <c r="FS17" s="104" t="b">
        <f t="shared" si="58"/>
        <v>1</v>
      </c>
      <c r="FT17" s="104" t="b">
        <f t="shared" si="59"/>
        <v>1</v>
      </c>
      <c r="FU17" s="104" t="b">
        <f t="shared" si="60"/>
        <v>0</v>
      </c>
      <c r="FV17" s="104" t="b">
        <f t="shared" si="61"/>
        <v>1</v>
      </c>
      <c r="FW17" s="104" t="b">
        <f t="shared" si="66"/>
        <v>0</v>
      </c>
      <c r="FX17" s="104" t="b">
        <f t="shared" si="245"/>
        <v>1</v>
      </c>
      <c r="FY17" s="104" t="s">
        <v>214</v>
      </c>
      <c r="FZ17" s="104" t="b">
        <f t="shared" si="246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7"/>
        <v>1</v>
      </c>
      <c r="GI17" s="108" t="b">
        <f t="shared" si="248"/>
        <v>0</v>
      </c>
    </row>
    <row r="18" spans="1:191" s="31" customFormat="1" hidden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9"/>
        <v>нет минмакс</v>
      </c>
      <c r="Q18" s="95">
        <v>5018</v>
      </c>
      <c r="R18" s="95">
        <f t="shared" si="190"/>
        <v>48072.44</v>
      </c>
      <c r="S18" s="112">
        <v>5019</v>
      </c>
      <c r="T18" s="112">
        <v>48082.02</v>
      </c>
      <c r="U18" s="112">
        <f t="shared" si="191"/>
        <v>0</v>
      </c>
      <c r="V18" s="113">
        <f t="shared" si="192"/>
        <v>5018</v>
      </c>
      <c r="W18" s="113">
        <f t="shared" si="193"/>
        <v>48072.44</v>
      </c>
      <c r="X18" s="113">
        <f t="shared" si="194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95"/>
        <v>0</v>
      </c>
      <c r="AF18" s="95">
        <f t="shared" si="196"/>
        <v>0</v>
      </c>
      <c r="AG18" s="114">
        <v>0</v>
      </c>
      <c r="AH18" s="95">
        <f t="shared" si="197"/>
        <v>5018</v>
      </c>
      <c r="AI18" s="115">
        <f t="shared" si="198"/>
        <v>48072.44</v>
      </c>
      <c r="AJ18" s="95">
        <f t="shared" si="199"/>
        <v>0</v>
      </c>
      <c r="AK18" s="95">
        <f t="shared" si="200"/>
        <v>1</v>
      </c>
      <c r="AL18" s="95">
        <f t="shared" si="201"/>
        <v>1837</v>
      </c>
      <c r="AM18" s="95">
        <f t="shared" si="202"/>
        <v>2000</v>
      </c>
      <c r="AN18" s="95">
        <f t="shared" si="203"/>
        <v>150.57</v>
      </c>
      <c r="AO18" s="95" t="str">
        <f t="shared" si="204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205"/>
        <v>0-10</v>
      </c>
      <c r="AW18" s="117">
        <f t="shared" si="206"/>
        <v>48072.44</v>
      </c>
      <c r="AX18" s="14">
        <f t="shared" si="249"/>
        <v>3</v>
      </c>
      <c r="AY18" s="25">
        <f t="shared" si="208"/>
        <v>0</v>
      </c>
      <c r="AZ18" s="109" t="s">
        <v>1010</v>
      </c>
      <c r="BA18" s="26" t="s">
        <v>196</v>
      </c>
      <c r="BB18" s="26" t="s">
        <v>271</v>
      </c>
      <c r="BC18" s="27">
        <v>45901</v>
      </c>
      <c r="BD18" s="28"/>
      <c r="BE18" s="29">
        <v>0</v>
      </c>
      <c r="BF18" s="29">
        <f t="shared" si="209"/>
        <v>0</v>
      </c>
      <c r="BG18" s="29">
        <v>0</v>
      </c>
      <c r="BH18" s="29">
        <f t="shared" si="210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11"/>
        <v>1000</v>
      </c>
      <c r="BR18" s="95">
        <f t="shared" si="212"/>
        <v>5018</v>
      </c>
      <c r="BS18" s="95">
        <f t="shared" si="213"/>
        <v>5018</v>
      </c>
      <c r="BT18" s="95">
        <f t="shared" si="213"/>
        <v>5018</v>
      </c>
      <c r="BU18" s="95">
        <f t="shared" si="213"/>
        <v>3578</v>
      </c>
      <c r="BV18" s="95">
        <f t="shared" si="213"/>
        <v>3578</v>
      </c>
      <c r="BW18" s="95">
        <f t="shared" si="213"/>
        <v>3018</v>
      </c>
      <c r="BX18" s="95">
        <f t="shared" si="250"/>
        <v>2018</v>
      </c>
      <c r="BY18" s="95">
        <f t="shared" si="250"/>
        <v>1018</v>
      </c>
      <c r="BZ18" s="95">
        <f t="shared" si="250"/>
        <v>18</v>
      </c>
      <c r="CA18" s="95">
        <f t="shared" si="250"/>
        <v>-982</v>
      </c>
      <c r="CB18" s="95">
        <f t="shared" si="250"/>
        <v>-1982</v>
      </c>
      <c r="CC18" s="95">
        <f t="shared" si="250"/>
        <v>-2982</v>
      </c>
      <c r="CD18" s="95">
        <f t="shared" si="250"/>
        <v>-3982</v>
      </c>
      <c r="CE18" s="95">
        <f t="shared" si="250"/>
        <v>-4982</v>
      </c>
      <c r="CF18" s="95">
        <f t="shared" si="250"/>
        <v>-5982</v>
      </c>
      <c r="CG18" s="95">
        <f t="shared" si="250"/>
        <v>-6982</v>
      </c>
      <c r="CH18" s="95">
        <f t="shared" si="250"/>
        <v>-7982</v>
      </c>
      <c r="CI18" s="95">
        <f t="shared" si="250"/>
        <v>-8982</v>
      </c>
      <c r="CJ18" s="95">
        <f t="shared" si="250"/>
        <v>-9982</v>
      </c>
      <c r="CK18" s="95">
        <f t="shared" si="250"/>
        <v>-10982</v>
      </c>
      <c r="CL18" s="95">
        <f t="shared" si="250"/>
        <v>-11982</v>
      </c>
      <c r="CM18" s="95">
        <f t="shared" si="250"/>
        <v>-12982</v>
      </c>
      <c r="CN18" s="95">
        <f t="shared" si="250"/>
        <v>-13982</v>
      </c>
      <c r="CO18" s="95">
        <f t="shared" si="250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15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6"/>
        <v>0</v>
      </c>
      <c r="DB18" s="62">
        <f t="shared" si="217"/>
        <v>0</v>
      </c>
      <c r="DC18" s="62">
        <f t="shared" si="218"/>
        <v>0</v>
      </c>
      <c r="DD18" s="102">
        <f t="shared" si="219"/>
        <v>0</v>
      </c>
      <c r="DE18" s="31">
        <v>0</v>
      </c>
      <c r="DF18" s="31">
        <v>90</v>
      </c>
      <c r="DG18" s="31">
        <v>0</v>
      </c>
      <c r="DH18" s="48">
        <f t="shared" si="220"/>
        <v>0</v>
      </c>
      <c r="DI18" s="62">
        <v>6836</v>
      </c>
      <c r="DJ18" s="62">
        <v>65505.89</v>
      </c>
      <c r="DK18" s="48">
        <f t="shared" si="221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22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23"/>
        <v>0</v>
      </c>
      <c r="DV18" s="62">
        <v>0</v>
      </c>
      <c r="DW18" s="62">
        <v>0</v>
      </c>
      <c r="DX18" s="62">
        <f t="shared" si="224"/>
        <v>0</v>
      </c>
      <c r="DY18" s="62">
        <f t="shared" si="225"/>
        <v>0</v>
      </c>
      <c r="DZ18" s="48">
        <f t="shared" si="226"/>
        <v>0</v>
      </c>
      <c r="EA18" s="62">
        <f t="shared" si="227"/>
        <v>0</v>
      </c>
      <c r="EB18" s="62">
        <f t="shared" si="228"/>
        <v>0</v>
      </c>
      <c r="EC18" s="48">
        <f t="shared" si="229"/>
        <v>0</v>
      </c>
      <c r="ED18" s="62">
        <f t="shared" si="230"/>
        <v>0</v>
      </c>
      <c r="EE18" s="62">
        <f t="shared" si="231"/>
        <v>0</v>
      </c>
      <c r="EF18" s="48">
        <f t="shared" si="232"/>
        <v>0</v>
      </c>
      <c r="EG18" s="62">
        <f t="shared" si="233"/>
        <v>4320</v>
      </c>
      <c r="EH18" s="62">
        <f t="shared" si="234"/>
        <v>41385.599999999999</v>
      </c>
      <c r="EI18" s="48">
        <f t="shared" si="235"/>
        <v>0</v>
      </c>
      <c r="EJ18" s="62">
        <f t="shared" si="236"/>
        <v>0</v>
      </c>
      <c r="EK18" s="62">
        <f t="shared" si="237"/>
        <v>0</v>
      </c>
      <c r="EL18" s="48">
        <f t="shared" si="238"/>
        <v>0</v>
      </c>
      <c r="EM18" s="62">
        <f t="shared" si="239"/>
        <v>1680</v>
      </c>
      <c r="EN18" s="62">
        <f t="shared" si="240"/>
        <v>16094.4</v>
      </c>
      <c r="EO18" s="48">
        <f t="shared" si="241"/>
        <v>0</v>
      </c>
      <c r="EP18" s="62">
        <f t="shared" si="242"/>
        <v>0</v>
      </c>
      <c r="EQ18" s="62">
        <f t="shared" si="242"/>
        <v>0</v>
      </c>
      <c r="ER18" s="62">
        <f t="shared" si="242"/>
        <v>0</v>
      </c>
      <c r="ES18" s="62">
        <f t="shared" si="243"/>
        <v>13795.2</v>
      </c>
      <c r="ET18" s="62">
        <f t="shared" si="243"/>
        <v>0</v>
      </c>
      <c r="EU18" s="62">
        <f t="shared" si="243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44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 t="shared" si="57"/>
        <v>1</v>
      </c>
      <c r="FS18" s="103" t="b">
        <f t="shared" si="58"/>
        <v>1</v>
      </c>
      <c r="FT18" s="103" t="b">
        <f t="shared" si="59"/>
        <v>1</v>
      </c>
      <c r="FU18" s="103" t="b">
        <f t="shared" si="60"/>
        <v>0</v>
      </c>
      <c r="FV18" s="103" t="b">
        <f t="shared" si="61"/>
        <v>1</v>
      </c>
      <c r="FW18" s="104" t="b">
        <f t="shared" si="66"/>
        <v>0</v>
      </c>
      <c r="FX18" s="120" t="b">
        <f t="shared" si="245"/>
        <v>1</v>
      </c>
      <c r="FY18" s="104" t="s">
        <v>214</v>
      </c>
      <c r="FZ18" s="104" t="b">
        <f t="shared" si="246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7"/>
        <v>1</v>
      </c>
      <c r="GI18" s="8" t="b">
        <f t="shared" si="248"/>
        <v>0</v>
      </c>
    </row>
    <row r="19" spans="1:191" s="31" customFormat="1" hidden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9"/>
        <v>нет минмакс</v>
      </c>
      <c r="Q19" s="95">
        <v>4967</v>
      </c>
      <c r="R19" s="95">
        <f t="shared" si="190"/>
        <v>47583.86</v>
      </c>
      <c r="S19" s="112">
        <v>4968</v>
      </c>
      <c r="T19" s="112">
        <v>47593.440000000002</v>
      </c>
      <c r="U19" s="112">
        <f t="shared" si="191"/>
        <v>0</v>
      </c>
      <c r="V19" s="113">
        <f t="shared" si="192"/>
        <v>4967</v>
      </c>
      <c r="W19" s="113">
        <f t="shared" si="193"/>
        <v>47583.86</v>
      </c>
      <c r="X19" s="113">
        <f t="shared" si="194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95"/>
        <v>0</v>
      </c>
      <c r="AF19" s="95">
        <f t="shared" si="196"/>
        <v>0</v>
      </c>
      <c r="AG19" s="114">
        <v>0</v>
      </c>
      <c r="AH19" s="95">
        <f t="shared" si="197"/>
        <v>4967</v>
      </c>
      <c r="AI19" s="115">
        <f t="shared" si="198"/>
        <v>47583.86</v>
      </c>
      <c r="AJ19" s="95">
        <f t="shared" si="199"/>
        <v>0</v>
      </c>
      <c r="AK19" s="95">
        <f t="shared" si="200"/>
        <v>1</v>
      </c>
      <c r="AL19" s="95">
        <f t="shared" si="201"/>
        <v>1869</v>
      </c>
      <c r="AM19" s="95">
        <f t="shared" si="202"/>
        <v>2000</v>
      </c>
      <c r="AN19" s="95">
        <f t="shared" si="203"/>
        <v>149.04</v>
      </c>
      <c r="AO19" s="95" t="str">
        <f t="shared" si="204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205"/>
        <v>0-09</v>
      </c>
      <c r="AW19" s="117">
        <f t="shared" si="206"/>
        <v>47583.86</v>
      </c>
      <c r="AX19" s="14">
        <f t="shared" si="249"/>
        <v>3</v>
      </c>
      <c r="AY19" s="25">
        <f t="shared" si="208"/>
        <v>0</v>
      </c>
      <c r="AZ19" s="109" t="s">
        <v>1010</v>
      </c>
      <c r="BA19" s="26" t="s">
        <v>196</v>
      </c>
      <c r="BB19" s="26" t="s">
        <v>271</v>
      </c>
      <c r="BC19" s="27">
        <v>45901</v>
      </c>
      <c r="BD19" s="28"/>
      <c r="BE19" s="29">
        <v>0</v>
      </c>
      <c r="BF19" s="29">
        <f t="shared" si="209"/>
        <v>0</v>
      </c>
      <c r="BG19" s="29">
        <v>0</v>
      </c>
      <c r="BH19" s="29">
        <f t="shared" si="210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11"/>
        <v>1000</v>
      </c>
      <c r="BR19" s="95">
        <f t="shared" si="212"/>
        <v>4967</v>
      </c>
      <c r="BS19" s="95">
        <f t="shared" si="213"/>
        <v>4967</v>
      </c>
      <c r="BT19" s="95">
        <f t="shared" si="213"/>
        <v>4967</v>
      </c>
      <c r="BU19" s="95">
        <f t="shared" si="213"/>
        <v>3527</v>
      </c>
      <c r="BV19" s="95">
        <f t="shared" si="213"/>
        <v>3527</v>
      </c>
      <c r="BW19" s="95">
        <f t="shared" si="213"/>
        <v>2967</v>
      </c>
      <c r="BX19" s="95">
        <f t="shared" si="250"/>
        <v>1967</v>
      </c>
      <c r="BY19" s="95">
        <f t="shared" si="250"/>
        <v>967</v>
      </c>
      <c r="BZ19" s="95">
        <f t="shared" si="250"/>
        <v>-33</v>
      </c>
      <c r="CA19" s="95">
        <f t="shared" si="250"/>
        <v>-1033</v>
      </c>
      <c r="CB19" s="95">
        <f t="shared" si="250"/>
        <v>-2033</v>
      </c>
      <c r="CC19" s="95">
        <f t="shared" si="250"/>
        <v>-3033</v>
      </c>
      <c r="CD19" s="95">
        <f t="shared" si="250"/>
        <v>-4033</v>
      </c>
      <c r="CE19" s="95">
        <f t="shared" si="250"/>
        <v>-5033</v>
      </c>
      <c r="CF19" s="95">
        <f t="shared" si="250"/>
        <v>-6033</v>
      </c>
      <c r="CG19" s="95">
        <f t="shared" si="250"/>
        <v>-7033</v>
      </c>
      <c r="CH19" s="95">
        <f t="shared" si="250"/>
        <v>-8033</v>
      </c>
      <c r="CI19" s="95">
        <f t="shared" si="250"/>
        <v>-9033</v>
      </c>
      <c r="CJ19" s="95">
        <f t="shared" si="250"/>
        <v>-10033</v>
      </c>
      <c r="CK19" s="95">
        <f t="shared" si="250"/>
        <v>-11033</v>
      </c>
      <c r="CL19" s="95">
        <f t="shared" si="250"/>
        <v>-12033</v>
      </c>
      <c r="CM19" s="95">
        <f t="shared" si="250"/>
        <v>-13033</v>
      </c>
      <c r="CN19" s="95">
        <f t="shared" si="250"/>
        <v>-14033</v>
      </c>
      <c r="CO19" s="95">
        <f t="shared" si="250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15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6"/>
        <v>0</v>
      </c>
      <c r="DB19" s="62">
        <f t="shared" si="217"/>
        <v>0</v>
      </c>
      <c r="DC19" s="62">
        <f t="shared" si="218"/>
        <v>0</v>
      </c>
      <c r="DD19" s="102">
        <f t="shared" si="219"/>
        <v>0</v>
      </c>
      <c r="DE19" s="31">
        <v>0</v>
      </c>
      <c r="DF19" s="31">
        <v>90</v>
      </c>
      <c r="DG19" s="31">
        <v>0</v>
      </c>
      <c r="DH19" s="48">
        <f t="shared" si="220"/>
        <v>0</v>
      </c>
      <c r="DI19" s="62">
        <v>6836</v>
      </c>
      <c r="DJ19" s="62">
        <v>65496.21</v>
      </c>
      <c r="DK19" s="48">
        <f t="shared" si="221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22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23"/>
        <v>0</v>
      </c>
      <c r="DV19" s="62">
        <v>0</v>
      </c>
      <c r="DW19" s="62">
        <v>0</v>
      </c>
      <c r="DX19" s="62">
        <f t="shared" si="224"/>
        <v>0</v>
      </c>
      <c r="DY19" s="62">
        <f t="shared" si="225"/>
        <v>0</v>
      </c>
      <c r="DZ19" s="48">
        <f t="shared" si="226"/>
        <v>0</v>
      </c>
      <c r="EA19" s="62">
        <f t="shared" si="227"/>
        <v>0</v>
      </c>
      <c r="EB19" s="62">
        <f t="shared" si="228"/>
        <v>0</v>
      </c>
      <c r="EC19" s="48">
        <f t="shared" si="229"/>
        <v>0</v>
      </c>
      <c r="ED19" s="62">
        <f t="shared" si="230"/>
        <v>0</v>
      </c>
      <c r="EE19" s="62">
        <f t="shared" si="231"/>
        <v>0</v>
      </c>
      <c r="EF19" s="48">
        <f t="shared" si="232"/>
        <v>0</v>
      </c>
      <c r="EG19" s="62">
        <f t="shared" si="233"/>
        <v>4320</v>
      </c>
      <c r="EH19" s="62">
        <f t="shared" si="234"/>
        <v>41385.599999999999</v>
      </c>
      <c r="EI19" s="48">
        <f t="shared" si="235"/>
        <v>0</v>
      </c>
      <c r="EJ19" s="62">
        <f t="shared" si="236"/>
        <v>0</v>
      </c>
      <c r="EK19" s="62">
        <f t="shared" si="237"/>
        <v>0</v>
      </c>
      <c r="EL19" s="48">
        <f t="shared" si="238"/>
        <v>0</v>
      </c>
      <c r="EM19" s="62">
        <f t="shared" si="239"/>
        <v>1680</v>
      </c>
      <c r="EN19" s="62">
        <f t="shared" si="240"/>
        <v>16094.4</v>
      </c>
      <c r="EO19" s="48">
        <f t="shared" si="241"/>
        <v>0</v>
      </c>
      <c r="EP19" s="62">
        <f t="shared" si="242"/>
        <v>0</v>
      </c>
      <c r="EQ19" s="62">
        <f t="shared" si="242"/>
        <v>0</v>
      </c>
      <c r="ER19" s="62">
        <f t="shared" si="242"/>
        <v>0</v>
      </c>
      <c r="ES19" s="62">
        <f t="shared" si="243"/>
        <v>13795.2</v>
      </c>
      <c r="ET19" s="62">
        <f t="shared" si="243"/>
        <v>0</v>
      </c>
      <c r="EU19" s="62">
        <f t="shared" si="243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44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 t="shared" si="57"/>
        <v>1</v>
      </c>
      <c r="FS19" s="103" t="b">
        <f t="shared" si="58"/>
        <v>1</v>
      </c>
      <c r="FT19" s="103" t="b">
        <f t="shared" si="59"/>
        <v>1</v>
      </c>
      <c r="FU19" s="103" t="b">
        <f t="shared" si="60"/>
        <v>0</v>
      </c>
      <c r="FV19" s="103" t="b">
        <f t="shared" si="61"/>
        <v>1</v>
      </c>
      <c r="FW19" s="104" t="b">
        <f t="shared" si="66"/>
        <v>0</v>
      </c>
      <c r="FX19" s="120" t="b">
        <f t="shared" si="245"/>
        <v>1</v>
      </c>
      <c r="FY19" s="104" t="s">
        <v>214</v>
      </c>
      <c r="FZ19" s="104" t="b">
        <f t="shared" si="246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7"/>
        <v>1</v>
      </c>
      <c r="GI19" s="8" t="b">
        <f t="shared" si="248"/>
        <v>0</v>
      </c>
    </row>
    <row r="20" spans="1:191" s="31" customFormat="1" hidden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9"/>
        <v>нет минмакс</v>
      </c>
      <c r="Q20" s="95">
        <v>536</v>
      </c>
      <c r="R20" s="95">
        <f t="shared" si="190"/>
        <v>10328.719999999999</v>
      </c>
      <c r="S20" s="112">
        <v>536</v>
      </c>
      <c r="T20" s="112">
        <v>10328.719999999999</v>
      </c>
      <c r="U20" s="112">
        <f t="shared" si="191"/>
        <v>0</v>
      </c>
      <c r="V20" s="113">
        <f t="shared" si="192"/>
        <v>536</v>
      </c>
      <c r="W20" s="113">
        <f t="shared" si="193"/>
        <v>10328.719999999999</v>
      </c>
      <c r="X20" s="113">
        <f t="shared" si="194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95"/>
        <v>0</v>
      </c>
      <c r="AF20" s="95">
        <f t="shared" si="196"/>
        <v>0</v>
      </c>
      <c r="AG20" s="114">
        <v>0</v>
      </c>
      <c r="AH20" s="95">
        <f t="shared" si="197"/>
        <v>536</v>
      </c>
      <c r="AI20" s="115">
        <f t="shared" si="198"/>
        <v>10328.719999999999</v>
      </c>
      <c r="AJ20" s="95">
        <f t="shared" si="199"/>
        <v>0</v>
      </c>
      <c r="AK20" s="95">
        <f t="shared" si="200"/>
        <v>0</v>
      </c>
      <c r="AL20" s="95">
        <f t="shared" si="201"/>
        <v>464</v>
      </c>
      <c r="AM20" s="95">
        <f t="shared" si="202"/>
        <v>500</v>
      </c>
      <c r="AN20" s="95">
        <f t="shared" si="203"/>
        <v>64.320000000000007</v>
      </c>
      <c r="AO20" s="95" t="str">
        <f t="shared" si="204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205"/>
        <v>0-07</v>
      </c>
      <c r="AW20" s="117">
        <f t="shared" si="206"/>
        <v>10328.719999999999</v>
      </c>
      <c r="AX20" s="14">
        <f t="shared" si="249"/>
        <v>3</v>
      </c>
      <c r="AY20" s="25">
        <f t="shared" si="208"/>
        <v>0</v>
      </c>
      <c r="AZ20" s="109" t="s">
        <v>1010</v>
      </c>
      <c r="BA20" s="26" t="s">
        <v>196</v>
      </c>
      <c r="BB20" s="26" t="s">
        <v>271</v>
      </c>
      <c r="BC20" s="27">
        <v>45901</v>
      </c>
      <c r="BD20" s="28"/>
      <c r="BE20" s="29">
        <v>0</v>
      </c>
      <c r="BF20" s="29">
        <f t="shared" si="209"/>
        <v>0</v>
      </c>
      <c r="BG20" s="29">
        <v>0</v>
      </c>
      <c r="BH20" s="29">
        <f t="shared" si="210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11"/>
        <v>250</v>
      </c>
      <c r="BR20" s="95">
        <f t="shared" si="212"/>
        <v>536</v>
      </c>
      <c r="BS20" s="95">
        <f t="shared" si="213"/>
        <v>536</v>
      </c>
      <c r="BT20" s="95">
        <f t="shared" si="213"/>
        <v>536</v>
      </c>
      <c r="BU20" s="95">
        <f t="shared" si="213"/>
        <v>176</v>
      </c>
      <c r="BV20" s="95">
        <f t="shared" si="213"/>
        <v>176</v>
      </c>
      <c r="BW20" s="95">
        <f t="shared" si="213"/>
        <v>36</v>
      </c>
      <c r="BX20" s="95">
        <f t="shared" si="250"/>
        <v>-214</v>
      </c>
      <c r="BY20" s="95">
        <f t="shared" si="250"/>
        <v>-464</v>
      </c>
      <c r="BZ20" s="95">
        <f t="shared" si="250"/>
        <v>-714</v>
      </c>
      <c r="CA20" s="95">
        <f t="shared" si="250"/>
        <v>-964</v>
      </c>
      <c r="CB20" s="95">
        <f t="shared" si="250"/>
        <v>-1214</v>
      </c>
      <c r="CC20" s="95">
        <f t="shared" si="250"/>
        <v>-1464</v>
      </c>
      <c r="CD20" s="95">
        <f t="shared" si="250"/>
        <v>-1714</v>
      </c>
      <c r="CE20" s="95">
        <f t="shared" si="250"/>
        <v>-1964</v>
      </c>
      <c r="CF20" s="95">
        <f t="shared" si="250"/>
        <v>-2214</v>
      </c>
      <c r="CG20" s="95">
        <f t="shared" si="250"/>
        <v>-2464</v>
      </c>
      <c r="CH20" s="95">
        <f t="shared" si="250"/>
        <v>-2714</v>
      </c>
      <c r="CI20" s="95">
        <f t="shared" si="250"/>
        <v>-2964</v>
      </c>
      <c r="CJ20" s="95">
        <f t="shared" si="250"/>
        <v>-3214</v>
      </c>
      <c r="CK20" s="95">
        <f t="shared" si="250"/>
        <v>-3464</v>
      </c>
      <c r="CL20" s="95">
        <f t="shared" si="250"/>
        <v>-3714</v>
      </c>
      <c r="CM20" s="95">
        <f t="shared" si="250"/>
        <v>-3964</v>
      </c>
      <c r="CN20" s="95">
        <f t="shared" si="250"/>
        <v>-4214</v>
      </c>
      <c r="CO20" s="95">
        <f t="shared" si="250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15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6"/>
        <v>0</v>
      </c>
      <c r="DB20" s="62">
        <f t="shared" si="217"/>
        <v>0</v>
      </c>
      <c r="DC20" s="62">
        <f t="shared" si="218"/>
        <v>0</v>
      </c>
      <c r="DD20" s="102">
        <f t="shared" si="219"/>
        <v>0</v>
      </c>
      <c r="DE20" s="31">
        <v>0</v>
      </c>
      <c r="DF20" s="31">
        <v>90</v>
      </c>
      <c r="DG20" s="31">
        <v>0</v>
      </c>
      <c r="DH20" s="48">
        <f t="shared" si="220"/>
        <v>0</v>
      </c>
      <c r="DI20" s="62">
        <v>1000</v>
      </c>
      <c r="DJ20" s="62">
        <v>19266.009999999998</v>
      </c>
      <c r="DK20" s="48">
        <f t="shared" si="221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22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23"/>
        <v>0</v>
      </c>
      <c r="DV20" s="62">
        <v>0</v>
      </c>
      <c r="DW20" s="62">
        <v>0</v>
      </c>
      <c r="DX20" s="62">
        <f t="shared" si="224"/>
        <v>0</v>
      </c>
      <c r="DY20" s="62">
        <f t="shared" si="225"/>
        <v>0</v>
      </c>
      <c r="DZ20" s="48">
        <f t="shared" si="226"/>
        <v>0</v>
      </c>
      <c r="EA20" s="62">
        <f t="shared" si="227"/>
        <v>0</v>
      </c>
      <c r="EB20" s="62">
        <f t="shared" si="228"/>
        <v>0</v>
      </c>
      <c r="EC20" s="48">
        <f t="shared" si="229"/>
        <v>0</v>
      </c>
      <c r="ED20" s="62">
        <f t="shared" si="230"/>
        <v>0</v>
      </c>
      <c r="EE20" s="62">
        <f t="shared" si="231"/>
        <v>0</v>
      </c>
      <c r="EF20" s="48">
        <f t="shared" si="232"/>
        <v>0</v>
      </c>
      <c r="EG20" s="62">
        <f t="shared" si="233"/>
        <v>1080</v>
      </c>
      <c r="EH20" s="62">
        <f t="shared" si="234"/>
        <v>20811.599999999999</v>
      </c>
      <c r="EI20" s="48">
        <f t="shared" si="235"/>
        <v>0</v>
      </c>
      <c r="EJ20" s="62">
        <f t="shared" si="236"/>
        <v>0</v>
      </c>
      <c r="EK20" s="62">
        <f t="shared" si="237"/>
        <v>0</v>
      </c>
      <c r="EL20" s="48">
        <f t="shared" si="238"/>
        <v>0</v>
      </c>
      <c r="EM20" s="62">
        <f t="shared" si="239"/>
        <v>420</v>
      </c>
      <c r="EN20" s="62">
        <f t="shared" si="240"/>
        <v>8093.4</v>
      </c>
      <c r="EO20" s="48">
        <f t="shared" si="241"/>
        <v>0</v>
      </c>
      <c r="EP20" s="62">
        <f t="shared" si="242"/>
        <v>0</v>
      </c>
      <c r="EQ20" s="62">
        <f t="shared" si="242"/>
        <v>0</v>
      </c>
      <c r="ER20" s="62">
        <f t="shared" si="242"/>
        <v>0</v>
      </c>
      <c r="ES20" s="62">
        <f t="shared" si="243"/>
        <v>6937.2</v>
      </c>
      <c r="ET20" s="62">
        <f t="shared" si="243"/>
        <v>0</v>
      </c>
      <c r="EU20" s="62">
        <f t="shared" si="243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44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 t="shared" si="57"/>
        <v>1</v>
      </c>
      <c r="FS20" s="103" t="b">
        <f t="shared" si="58"/>
        <v>1</v>
      </c>
      <c r="FT20" s="103" t="b">
        <f t="shared" si="59"/>
        <v>1</v>
      </c>
      <c r="FU20" s="103" t="b">
        <f t="shared" si="60"/>
        <v>0</v>
      </c>
      <c r="FV20" s="103" t="b">
        <f t="shared" si="61"/>
        <v>1</v>
      </c>
      <c r="FW20" s="104" t="b">
        <f t="shared" si="66"/>
        <v>0</v>
      </c>
      <c r="FX20" s="120" t="b">
        <f t="shared" si="245"/>
        <v>1</v>
      </c>
      <c r="FY20" s="104" t="s">
        <v>214</v>
      </c>
      <c r="FZ20" s="104" t="b">
        <f t="shared" si="246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7"/>
        <v>1</v>
      </c>
      <c r="GI20" s="8" t="b">
        <f t="shared" si="248"/>
        <v>0</v>
      </c>
    </row>
    <row r="21" spans="1:191" s="31" customFormat="1" hidden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51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52">Q21*FH21</f>
        <v>0</v>
      </c>
      <c r="S21" s="94">
        <v>72</v>
      </c>
      <c r="T21" s="94">
        <v>2348249.04</v>
      </c>
      <c r="U21" s="94">
        <f t="shared" ref="U21:U22" si="253">IFERROR(ROUNDUP(S21/$EX21,0)*$EY21,0)</f>
        <v>27</v>
      </c>
      <c r="V21" s="94">
        <f t="shared" ref="V21:V22" si="254">SUM(Z21:AD21)</f>
        <v>0</v>
      </c>
      <c r="W21" s="94">
        <f t="shared" ref="W21:W22" si="255">V21*FH21</f>
        <v>0</v>
      </c>
      <c r="X21" s="94">
        <f t="shared" ref="X21:X22" si="256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7">AA21*FH21</f>
        <v>0</v>
      </c>
      <c r="AF21" s="95">
        <f t="shared" ref="AF21:AF22" si="258">AB21*FH21</f>
        <v>0</v>
      </c>
      <c r="AG21" s="96">
        <v>0</v>
      </c>
      <c r="AH21" s="95">
        <f t="shared" ref="AH21:AH22" si="259">V21-AG21</f>
        <v>0</v>
      </c>
      <c r="AI21" s="94">
        <f t="shared" ref="AI21:AI22" si="260">IF(AH21&gt;0,AH21*FH21,0)</f>
        <v>0</v>
      </c>
      <c r="AJ21" s="94">
        <f t="shared" ref="AJ21:AJ22" si="261">CU21</f>
        <v>64</v>
      </c>
      <c r="AK21" s="94">
        <f t="shared" ref="AK21:AK22" si="262">SUM(CS21:CU21)</f>
        <v>232</v>
      </c>
      <c r="AL21" s="94">
        <f t="shared" ref="AL21:AL22" si="263">SUM(CP21:CU21)</f>
        <v>466</v>
      </c>
      <c r="AM21" s="94">
        <f t="shared" ref="AM21:AM22" si="264">SUM(BK21:BP21)</f>
        <v>300</v>
      </c>
      <c r="AN21" s="94">
        <f t="shared" ref="AN21:AN22" si="265">IFERROR(S21/BQ21*30,"нет оборота")</f>
        <v>43.199999999999996</v>
      </c>
      <c r="AO21" s="94" t="str">
        <f t="shared" ref="AO21:AO22" si="266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7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8">IF(AT21="Да",W21,0)</f>
        <v>0</v>
      </c>
      <c r="AX21" s="93"/>
      <c r="AY21" s="94">
        <f t="shared" ref="AY21:AY22" si="269">IF(AX21&gt;6,W21,0)</f>
        <v>0</v>
      </c>
      <c r="AZ21" s="93" t="s">
        <v>1011</v>
      </c>
      <c r="BA21" s="26" t="s">
        <v>276</v>
      </c>
      <c r="BB21" s="26" t="s">
        <v>277</v>
      </c>
      <c r="BC21" s="27">
        <v>45839</v>
      </c>
      <c r="BD21" s="28"/>
      <c r="BE21" s="29">
        <v>0</v>
      </c>
      <c r="BF21" s="29">
        <f t="shared" ref="BF21:BF22" si="270">BE21*FH21</f>
        <v>0</v>
      </c>
      <c r="BG21" s="29">
        <v>0</v>
      </c>
      <c r="BH21" s="29">
        <f t="shared" ref="BH21:BH22" si="271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72">IF(COUNTIF(BK21:BP21,"&gt;0")=0,0,SUM(BK21:BP21)/COUNTIF(BK21:BP21,"&gt;0"))</f>
        <v>50</v>
      </c>
      <c r="BR21" s="95">
        <f t="shared" ref="BR21:BR22" si="273">IF(OR(Q21=0,SUM(BK21:BP21)=0,V21&gt;Q21),V21-BK21,Q21-BK21)</f>
        <v>-60</v>
      </c>
      <c r="BS21" s="95">
        <f t="shared" ref="BS21:BW22" si="274">BR21-BL21</f>
        <v>-90</v>
      </c>
      <c r="BT21" s="95">
        <f t="shared" si="274"/>
        <v>-120</v>
      </c>
      <c r="BU21" s="95">
        <f t="shared" si="274"/>
        <v>-180</v>
      </c>
      <c r="BV21" s="95">
        <f t="shared" si="274"/>
        <v>-240</v>
      </c>
      <c r="BW21" s="95">
        <f t="shared" si="274"/>
        <v>-300</v>
      </c>
      <c r="BX21" s="95">
        <f t="shared" ref="BX21:CO22" si="275">BW21-$BQ21</f>
        <v>-350</v>
      </c>
      <c r="BY21" s="95">
        <f t="shared" si="275"/>
        <v>-400</v>
      </c>
      <c r="BZ21" s="95">
        <f t="shared" si="275"/>
        <v>-450</v>
      </c>
      <c r="CA21" s="95">
        <f t="shared" si="275"/>
        <v>-500</v>
      </c>
      <c r="CB21" s="95">
        <f t="shared" si="275"/>
        <v>-550</v>
      </c>
      <c r="CC21" s="95">
        <f t="shared" si="275"/>
        <v>-600</v>
      </c>
      <c r="CD21" s="95">
        <f t="shared" si="275"/>
        <v>-650</v>
      </c>
      <c r="CE21" s="95">
        <f t="shared" si="275"/>
        <v>-700</v>
      </c>
      <c r="CF21" s="95">
        <f t="shared" si="275"/>
        <v>-750</v>
      </c>
      <c r="CG21" s="95">
        <f t="shared" si="275"/>
        <v>-800</v>
      </c>
      <c r="CH21" s="95">
        <f t="shared" si="275"/>
        <v>-850</v>
      </c>
      <c r="CI21" s="95">
        <f t="shared" si="275"/>
        <v>-900</v>
      </c>
      <c r="CJ21" s="95">
        <f t="shared" si="275"/>
        <v>-950</v>
      </c>
      <c r="CK21" s="95">
        <f t="shared" si="275"/>
        <v>-1000</v>
      </c>
      <c r="CL21" s="95">
        <f t="shared" si="275"/>
        <v>-1050</v>
      </c>
      <c r="CM21" s="95">
        <f t="shared" si="275"/>
        <v>-1100</v>
      </c>
      <c r="CN21" s="95">
        <f t="shared" si="275"/>
        <v>-1150</v>
      </c>
      <c r="CO21" s="95">
        <f t="shared" si="275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6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7">IFERROR(CZ21/CY21,0)</f>
        <v>1.0666666666666667</v>
      </c>
      <c r="DB21" s="62">
        <f t="shared" ref="DB21:DB22" si="278">CY21*FH21</f>
        <v>3849003.5999999996</v>
      </c>
      <c r="DC21" s="62">
        <f t="shared" ref="DC21:DC22" si="279">CZ21*FH21</f>
        <v>4105603.84</v>
      </c>
      <c r="DD21" s="102">
        <f t="shared" ref="DD21:DD22" si="280">IFERROR(DC21/DB21,0)</f>
        <v>1.0666666666666667</v>
      </c>
      <c r="DE21" s="31">
        <v>0</v>
      </c>
      <c r="DG21" s="31">
        <v>0</v>
      </c>
      <c r="DH21" s="48">
        <f t="shared" ref="DH21:DH22" si="281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82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83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84">IFERROR(ROUNDUP(DS21/$EX21,0)*$EY21,0)</f>
        <v>49.5</v>
      </c>
      <c r="DV21" s="62">
        <v>128</v>
      </c>
      <c r="DW21" s="62">
        <v>4301104.2032941179</v>
      </c>
      <c r="DX21" s="62">
        <f t="shared" ref="DX21:DX22" si="285">$DF21*BK21/30</f>
        <v>0</v>
      </c>
      <c r="DY21" s="62">
        <f t="shared" ref="DY21:DY22" si="286">DX21*$FH21</f>
        <v>0</v>
      </c>
      <c r="DZ21" s="48">
        <f t="shared" ref="DZ21:DZ22" si="287">IFERROR(ROUNDUP(DX21/$EX21,0)*$EY21,0)</f>
        <v>0</v>
      </c>
      <c r="EA21" s="62">
        <f t="shared" ref="EA21:EA22" si="288">$DF21*BL21/30</f>
        <v>0</v>
      </c>
      <c r="EB21" s="62">
        <f t="shared" ref="EB21:EB22" si="289">EA21*$FH21</f>
        <v>0</v>
      </c>
      <c r="EC21" s="48">
        <f t="shared" ref="EC21:EC22" si="290">IFERROR(ROUNDUP(EA21/$EX21,0)*$EY21,0)</f>
        <v>0</v>
      </c>
      <c r="ED21" s="62">
        <f t="shared" ref="ED21:ED22" si="291">$DF21*BM21/30</f>
        <v>0</v>
      </c>
      <c r="EE21" s="62">
        <f t="shared" ref="EE21:EE22" si="292">ED21*$FH21</f>
        <v>0</v>
      </c>
      <c r="EF21" s="48">
        <f t="shared" ref="EF21:EF22" si="293">IFERROR(ROUNDUP(ED21/$EX21,0)*$EY21,0)</f>
        <v>0</v>
      </c>
      <c r="EG21" s="62">
        <f t="shared" ref="EG21:EG22" si="294">$DF21*BN21/30</f>
        <v>0</v>
      </c>
      <c r="EH21" s="62">
        <f t="shared" ref="EH21:EH22" si="295">EG21*$FH21</f>
        <v>0</v>
      </c>
      <c r="EI21" s="48">
        <f t="shared" ref="EI21:EI22" si="296">IFERROR(ROUNDUP(EG21/$EX21,0)*$EY21,0)</f>
        <v>0</v>
      </c>
      <c r="EJ21" s="62">
        <f t="shared" ref="EJ21:EJ22" si="297">$DF21*BO21/30</f>
        <v>0</v>
      </c>
      <c r="EK21" s="62">
        <f t="shared" ref="EK21:EK22" si="298">EJ21*$FH21</f>
        <v>0</v>
      </c>
      <c r="EL21" s="48">
        <f t="shared" ref="EL21:EL22" si="299">IFERROR(ROUNDUP(EJ21/$EX21,0)*$EY21,0)</f>
        <v>0</v>
      </c>
      <c r="EM21" s="62">
        <f t="shared" ref="EM21:EM22" si="300">$DF21*BP21/30</f>
        <v>0</v>
      </c>
      <c r="EN21" s="62">
        <f t="shared" ref="EN21:EN22" si="301">EM21*$FH21</f>
        <v>0</v>
      </c>
      <c r="EO21" s="48">
        <f t="shared" ref="EO21:EO22" si="302">IFERROR(ROUNDUP(EM21/$EX21,0)*$EY21,0)</f>
        <v>0</v>
      </c>
      <c r="EP21" s="62">
        <f t="shared" ref="EP21:ER22" si="303">BK21*$FH21</f>
        <v>1924501.7999999998</v>
      </c>
      <c r="EQ21" s="62">
        <f t="shared" si="303"/>
        <v>962250.89999999991</v>
      </c>
      <c r="ER21" s="62">
        <f t="shared" si="303"/>
        <v>962250.89999999991</v>
      </c>
      <c r="ES21" s="62">
        <f t="shared" ref="ES21:EU22" si="304">BN21*$FH21</f>
        <v>1924501.7999999998</v>
      </c>
      <c r="ET21" s="62">
        <f t="shared" si="304"/>
        <v>1924501.7999999998</v>
      </c>
      <c r="EU21" s="62">
        <f t="shared" si="304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305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 t="shared" si="57"/>
        <v>1</v>
      </c>
      <c r="FS21" s="104" t="b">
        <f t="shared" si="58"/>
        <v>1</v>
      </c>
      <c r="FT21" s="104" t="b">
        <f t="shared" si="59"/>
        <v>1</v>
      </c>
      <c r="FU21" s="104" t="b">
        <f t="shared" si="60"/>
        <v>0</v>
      </c>
      <c r="FV21" s="104" t="b">
        <f t="shared" si="61"/>
        <v>1</v>
      </c>
      <c r="FW21" s="104" t="b">
        <f t="shared" si="66"/>
        <v>0</v>
      </c>
      <c r="FX21" s="104" t="b">
        <f t="shared" ref="FX21:FX22" si="306">EXACT(FQ21,BI21)</f>
        <v>1</v>
      </c>
      <c r="FY21" s="104" t="s">
        <v>214</v>
      </c>
      <c r="FZ21" s="104" t="b">
        <f t="shared" ref="FZ21:FZ22" si="307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8">EXACT(GD21,C21)</f>
        <v>1</v>
      </c>
      <c r="GI21" s="108" t="b">
        <f t="shared" ref="GI21:GI22" si="309">EXACT(GG21,G21)</f>
        <v>0</v>
      </c>
    </row>
    <row r="22" spans="1:191" s="31" customFormat="1" ht="30" hidden="1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51"/>
        <v>нет минмакс</v>
      </c>
      <c r="Q22" s="95">
        <v>658</v>
      </c>
      <c r="R22" s="95">
        <f t="shared" si="252"/>
        <v>39019.4</v>
      </c>
      <c r="S22" s="112">
        <v>692</v>
      </c>
      <c r="T22" s="112">
        <v>40454.32</v>
      </c>
      <c r="U22" s="112">
        <f t="shared" si="253"/>
        <v>0</v>
      </c>
      <c r="V22" s="113">
        <f t="shared" si="254"/>
        <v>376</v>
      </c>
      <c r="W22" s="113">
        <f t="shared" si="255"/>
        <v>22296.799999999999</v>
      </c>
      <c r="X22" s="113">
        <f t="shared" si="256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7"/>
        <v>0</v>
      </c>
      <c r="AF22" s="95">
        <f t="shared" si="258"/>
        <v>0</v>
      </c>
      <c r="AG22" s="114">
        <v>0</v>
      </c>
      <c r="AH22" s="95">
        <f t="shared" si="259"/>
        <v>376</v>
      </c>
      <c r="AI22" s="115">
        <f t="shared" si="260"/>
        <v>22296.799999999999</v>
      </c>
      <c r="AJ22" s="95">
        <f t="shared" si="261"/>
        <v>0</v>
      </c>
      <c r="AK22" s="95">
        <f t="shared" si="262"/>
        <v>125</v>
      </c>
      <c r="AL22" s="95">
        <f t="shared" si="263"/>
        <v>364</v>
      </c>
      <c r="AM22" s="95">
        <f t="shared" si="264"/>
        <v>300</v>
      </c>
      <c r="AN22" s="95">
        <f t="shared" si="265"/>
        <v>415.2</v>
      </c>
      <c r="AO22" s="95" t="str">
        <f t="shared" si="266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7"/>
        <v>0-14</v>
      </c>
      <c r="AW22" s="117">
        <f t="shared" si="268"/>
        <v>22296.799999999999</v>
      </c>
      <c r="AX22" s="14">
        <f>MONTH(BC22)-6</f>
        <v>3</v>
      </c>
      <c r="AY22" s="25">
        <f t="shared" si="269"/>
        <v>0</v>
      </c>
      <c r="AZ22" s="109" t="s">
        <v>1011</v>
      </c>
      <c r="BA22" s="26" t="s">
        <v>223</v>
      </c>
      <c r="BB22" s="26" t="s">
        <v>279</v>
      </c>
      <c r="BC22" s="27">
        <v>45901</v>
      </c>
      <c r="BD22" s="28"/>
      <c r="BE22" s="29">
        <v>0</v>
      </c>
      <c r="BF22" s="29">
        <f t="shared" si="270"/>
        <v>0</v>
      </c>
      <c r="BG22" s="29">
        <v>0</v>
      </c>
      <c r="BH22" s="29">
        <f t="shared" si="271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72"/>
        <v>50</v>
      </c>
      <c r="BR22" s="95">
        <f t="shared" si="273"/>
        <v>598</v>
      </c>
      <c r="BS22" s="95">
        <f t="shared" si="274"/>
        <v>568</v>
      </c>
      <c r="BT22" s="95">
        <f t="shared" si="274"/>
        <v>538</v>
      </c>
      <c r="BU22" s="95">
        <f t="shared" si="274"/>
        <v>478</v>
      </c>
      <c r="BV22" s="95">
        <f t="shared" si="274"/>
        <v>418</v>
      </c>
      <c r="BW22" s="95">
        <f t="shared" si="274"/>
        <v>358</v>
      </c>
      <c r="BX22" s="95">
        <f t="shared" si="275"/>
        <v>308</v>
      </c>
      <c r="BY22" s="95">
        <f t="shared" si="275"/>
        <v>258</v>
      </c>
      <c r="BZ22" s="95">
        <f t="shared" si="275"/>
        <v>208</v>
      </c>
      <c r="CA22" s="95">
        <f t="shared" si="275"/>
        <v>158</v>
      </c>
      <c r="CB22" s="95">
        <f t="shared" si="275"/>
        <v>108</v>
      </c>
      <c r="CC22" s="95">
        <f t="shared" si="275"/>
        <v>58</v>
      </c>
      <c r="CD22" s="95">
        <f t="shared" si="275"/>
        <v>8</v>
      </c>
      <c r="CE22" s="95">
        <f t="shared" si="275"/>
        <v>-42</v>
      </c>
      <c r="CF22" s="95">
        <f t="shared" si="275"/>
        <v>-92</v>
      </c>
      <c r="CG22" s="95">
        <f t="shared" si="275"/>
        <v>-142</v>
      </c>
      <c r="CH22" s="95">
        <f t="shared" si="275"/>
        <v>-192</v>
      </c>
      <c r="CI22" s="95">
        <f t="shared" si="275"/>
        <v>-242</v>
      </c>
      <c r="CJ22" s="95">
        <f t="shared" si="275"/>
        <v>-292</v>
      </c>
      <c r="CK22" s="95">
        <f t="shared" si="275"/>
        <v>-342</v>
      </c>
      <c r="CL22" s="95">
        <f t="shared" si="275"/>
        <v>-392</v>
      </c>
      <c r="CM22" s="95">
        <f t="shared" si="275"/>
        <v>-442</v>
      </c>
      <c r="CN22" s="95">
        <f t="shared" si="275"/>
        <v>-492</v>
      </c>
      <c r="CO22" s="95">
        <f t="shared" si="275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6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7"/>
        <v>0</v>
      </c>
      <c r="DB22" s="62">
        <f t="shared" si="278"/>
        <v>0</v>
      </c>
      <c r="DC22" s="62">
        <f t="shared" si="279"/>
        <v>0</v>
      </c>
      <c r="DD22" s="102">
        <f t="shared" si="280"/>
        <v>0</v>
      </c>
      <c r="DE22" s="31">
        <v>0</v>
      </c>
      <c r="DF22" s="31">
        <v>90</v>
      </c>
      <c r="DG22" s="31">
        <v>0</v>
      </c>
      <c r="DH22" s="48">
        <f t="shared" si="281"/>
        <v>0</v>
      </c>
      <c r="DI22" s="62">
        <v>439.839</v>
      </c>
      <c r="DJ22" s="62">
        <v>25216.749</v>
      </c>
      <c r="DK22" s="48">
        <f t="shared" si="282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83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84"/>
        <v>0</v>
      </c>
      <c r="DV22" s="62">
        <v>91</v>
      </c>
      <c r="DW22" s="62">
        <v>5291.1458108108118</v>
      </c>
      <c r="DX22" s="62">
        <f t="shared" si="285"/>
        <v>180</v>
      </c>
      <c r="DY22" s="62">
        <f t="shared" si="286"/>
        <v>10674</v>
      </c>
      <c r="DZ22" s="48">
        <f t="shared" si="287"/>
        <v>0</v>
      </c>
      <c r="EA22" s="62">
        <f t="shared" si="288"/>
        <v>90</v>
      </c>
      <c r="EB22" s="62">
        <f t="shared" si="289"/>
        <v>5337</v>
      </c>
      <c r="EC22" s="48">
        <f t="shared" si="290"/>
        <v>0</v>
      </c>
      <c r="ED22" s="62">
        <f t="shared" si="291"/>
        <v>90</v>
      </c>
      <c r="EE22" s="62">
        <f t="shared" si="292"/>
        <v>5337</v>
      </c>
      <c r="EF22" s="48">
        <f t="shared" si="293"/>
        <v>0</v>
      </c>
      <c r="EG22" s="62">
        <f t="shared" si="294"/>
        <v>180</v>
      </c>
      <c r="EH22" s="62">
        <f t="shared" si="295"/>
        <v>10674</v>
      </c>
      <c r="EI22" s="48">
        <f t="shared" si="296"/>
        <v>0</v>
      </c>
      <c r="EJ22" s="62">
        <f t="shared" si="297"/>
        <v>180</v>
      </c>
      <c r="EK22" s="62">
        <f t="shared" si="298"/>
        <v>10674</v>
      </c>
      <c r="EL22" s="48">
        <f t="shared" si="299"/>
        <v>0</v>
      </c>
      <c r="EM22" s="62">
        <f t="shared" si="300"/>
        <v>180</v>
      </c>
      <c r="EN22" s="62">
        <f t="shared" si="301"/>
        <v>10674</v>
      </c>
      <c r="EO22" s="48">
        <f t="shared" si="302"/>
        <v>0</v>
      </c>
      <c r="EP22" s="62">
        <f t="shared" si="303"/>
        <v>3558</v>
      </c>
      <c r="EQ22" s="62">
        <f t="shared" si="303"/>
        <v>1779</v>
      </c>
      <c r="ER22" s="62">
        <f t="shared" si="303"/>
        <v>1779</v>
      </c>
      <c r="ES22" s="62">
        <f t="shared" si="304"/>
        <v>3558</v>
      </c>
      <c r="ET22" s="62">
        <f t="shared" si="304"/>
        <v>3558</v>
      </c>
      <c r="EU22" s="62">
        <f t="shared" si="304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305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 t="shared" si="57"/>
        <v>1</v>
      </c>
      <c r="FS22" s="103" t="b">
        <f t="shared" si="58"/>
        <v>1</v>
      </c>
      <c r="FT22" s="103" t="b">
        <f t="shared" si="59"/>
        <v>1</v>
      </c>
      <c r="FU22" s="103" t="b">
        <f t="shared" si="60"/>
        <v>0</v>
      </c>
      <c r="FV22" s="103" t="b">
        <f t="shared" si="61"/>
        <v>1</v>
      </c>
      <c r="FW22" s="104" t="b">
        <f t="shared" si="66"/>
        <v>0</v>
      </c>
      <c r="FX22" s="120" t="b">
        <f t="shared" si="306"/>
        <v>1</v>
      </c>
      <c r="FY22" s="104" t="s">
        <v>214</v>
      </c>
      <c r="FZ22" s="104" t="b">
        <f t="shared" si="307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8"/>
        <v>1</v>
      </c>
      <c r="GI22" s="8" t="b">
        <f t="shared" si="309"/>
        <v>0</v>
      </c>
    </row>
    <row r="23" spans="1:191" s="31" customFormat="1" ht="45" hidden="1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10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11">Q23*FH23</f>
        <v>1661747.5599999998</v>
      </c>
      <c r="S23" s="94">
        <v>1276</v>
      </c>
      <c r="T23" s="94">
        <v>1661747.5599999998</v>
      </c>
      <c r="U23" s="94">
        <f t="shared" ref="U23:U26" si="312">IFERROR(ROUNDUP(S23/$EX23,0)*$EY23,0)</f>
        <v>9</v>
      </c>
      <c r="V23" s="94">
        <f t="shared" ref="V23:V26" si="313">SUM(Z23:AD23)</f>
        <v>1276</v>
      </c>
      <c r="W23" s="94">
        <f t="shared" ref="W23:W26" si="314">V23*FH23</f>
        <v>1661747.5599999998</v>
      </c>
      <c r="X23" s="94">
        <f t="shared" ref="X23:X26" si="315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6">AA23*FH23</f>
        <v>0</v>
      </c>
      <c r="AF23" s="95">
        <f t="shared" ref="AF23:AF26" si="317">AB23*FH23</f>
        <v>0</v>
      </c>
      <c r="AG23" s="96">
        <v>4</v>
      </c>
      <c r="AH23" s="95">
        <f t="shared" ref="AH23:AH26" si="318">V23-AG23</f>
        <v>1272</v>
      </c>
      <c r="AI23" s="94">
        <f t="shared" ref="AI23:AI26" si="319">IF(AH23&gt;0,AH23*FH23,0)</f>
        <v>1656538.3199999998</v>
      </c>
      <c r="AJ23" s="94">
        <f t="shared" ref="AJ23:AJ26" si="320">CU23</f>
        <v>0</v>
      </c>
      <c r="AK23" s="94">
        <f t="shared" ref="AK23:AK26" si="321">SUM(CS23:CU23)</f>
        <v>36</v>
      </c>
      <c r="AL23" s="94">
        <f t="shared" ref="AL23:AL26" si="322">SUM(CP23:CU23)</f>
        <v>1053</v>
      </c>
      <c r="AM23" s="94">
        <f t="shared" ref="AM23:AM26" si="323">SUM(BK23:BP23)</f>
        <v>1680</v>
      </c>
      <c r="AN23" s="94">
        <f t="shared" ref="AN23:AN26" si="324">IFERROR(S23/BQ23*30,"нет оборота")</f>
        <v>136.71428571428572</v>
      </c>
      <c r="AO23" s="94" t="str">
        <f t="shared" ref="AO23:AO26" si="325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6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7">IF(AT23="Да",W23,0)</f>
        <v>1661747.5599999998</v>
      </c>
      <c r="AX23" s="14">
        <f>MONTH(BC23)-6</f>
        <v>5</v>
      </c>
      <c r="AY23" s="94">
        <f t="shared" ref="AY23:AY26" si="328">IF(AX23&gt;6,W23,0)</f>
        <v>0</v>
      </c>
      <c r="AZ23" s="93" t="s">
        <v>1012</v>
      </c>
      <c r="BA23" s="26" t="s">
        <v>201</v>
      </c>
      <c r="BB23" s="26" t="s">
        <v>252</v>
      </c>
      <c r="BC23" s="27">
        <v>45962</v>
      </c>
      <c r="BD23" s="28" t="s">
        <v>286</v>
      </c>
      <c r="BE23" s="29">
        <v>0</v>
      </c>
      <c r="BF23" s="29">
        <f t="shared" ref="BF23:BF26" si="329">BE23*FH23</f>
        <v>0</v>
      </c>
      <c r="BG23" s="29">
        <v>0</v>
      </c>
      <c r="BH23" s="29">
        <f t="shared" ref="BH23:BH26" si="330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31">IF(COUNTIF(BK23:BP23,"&gt;0")=0,0,SUM(BK23:BP23)/COUNTIF(BK23:BP23,"&gt;0"))</f>
        <v>280</v>
      </c>
      <c r="BR23" s="95">
        <f t="shared" ref="BR23:BR26" si="332">IF(OR(Q23=0,SUM(BK23:BP23)=0,V23&gt;Q23),V23-BK23,Q23-BK23)</f>
        <v>996</v>
      </c>
      <c r="BS23" s="95">
        <f t="shared" ref="BS23:BW26" si="333">BR23-BL23</f>
        <v>716</v>
      </c>
      <c r="BT23" s="95">
        <f t="shared" si="333"/>
        <v>436</v>
      </c>
      <c r="BU23" s="95">
        <f t="shared" si="333"/>
        <v>156</v>
      </c>
      <c r="BV23" s="95">
        <f t="shared" si="333"/>
        <v>-124</v>
      </c>
      <c r="BW23" s="95">
        <f t="shared" si="333"/>
        <v>-404</v>
      </c>
      <c r="BX23" s="95">
        <f t="shared" ref="BX23:CO26" si="334">BW23-$BQ23</f>
        <v>-684</v>
      </c>
      <c r="BY23" s="95">
        <f t="shared" si="334"/>
        <v>-964</v>
      </c>
      <c r="BZ23" s="95">
        <f t="shared" si="334"/>
        <v>-1244</v>
      </c>
      <c r="CA23" s="95">
        <f t="shared" si="334"/>
        <v>-1524</v>
      </c>
      <c r="CB23" s="95">
        <f t="shared" si="334"/>
        <v>-1804</v>
      </c>
      <c r="CC23" s="95">
        <f t="shared" si="334"/>
        <v>-2084</v>
      </c>
      <c r="CD23" s="95">
        <f t="shared" si="334"/>
        <v>-2364</v>
      </c>
      <c r="CE23" s="95">
        <f t="shared" si="334"/>
        <v>-2644</v>
      </c>
      <c r="CF23" s="95">
        <f t="shared" si="334"/>
        <v>-2924</v>
      </c>
      <c r="CG23" s="95">
        <f t="shared" si="334"/>
        <v>-3204</v>
      </c>
      <c r="CH23" s="95">
        <f t="shared" si="334"/>
        <v>-3484</v>
      </c>
      <c r="CI23" s="95">
        <f t="shared" si="334"/>
        <v>-3764</v>
      </c>
      <c r="CJ23" s="95">
        <f t="shared" si="334"/>
        <v>-4044</v>
      </c>
      <c r="CK23" s="95">
        <f t="shared" si="334"/>
        <v>-4324</v>
      </c>
      <c r="CL23" s="95">
        <f t="shared" si="334"/>
        <v>-4604</v>
      </c>
      <c r="CM23" s="95">
        <f t="shared" si="334"/>
        <v>-4884</v>
      </c>
      <c r="CN23" s="95">
        <f t="shared" si="334"/>
        <v>-5164</v>
      </c>
      <c r="CO23" s="95">
        <f t="shared" si="334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35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6">IFERROR(CZ23/CY23,0)</f>
        <v>0.09</v>
      </c>
      <c r="DB23" s="62">
        <f t="shared" ref="DB23:DB26" si="337">CY23*FH23</f>
        <v>520924</v>
      </c>
      <c r="DC23" s="62">
        <f t="shared" ref="DC23:DC26" si="338">CZ23*FH23</f>
        <v>46883.159999999996</v>
      </c>
      <c r="DD23" s="102">
        <f t="shared" ref="DD23:DD26" si="339">IFERROR(DC23/DB23,0)</f>
        <v>0.09</v>
      </c>
      <c r="DE23" s="31">
        <v>0</v>
      </c>
      <c r="DG23" s="31">
        <v>0</v>
      </c>
      <c r="DH23" s="48">
        <f t="shared" ref="DH23:DH26" si="340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41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42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43">IFERROR(ROUNDUP(DS23/$EX23,0)*$EY23,0)</f>
        <v>9</v>
      </c>
      <c r="DV23" s="62">
        <v>36</v>
      </c>
      <c r="DW23" s="62">
        <v>45951.362500000003</v>
      </c>
      <c r="DX23" s="62">
        <f t="shared" ref="DX23:DX26" si="344">$DF23*BK23/30</f>
        <v>0</v>
      </c>
      <c r="DY23" s="62">
        <f t="shared" ref="DY23:DY26" si="345">DX23*$FH23</f>
        <v>0</v>
      </c>
      <c r="DZ23" s="48">
        <f t="shared" ref="DZ23:DZ26" si="346">IFERROR(ROUNDUP(DX23/$EX23,0)*$EY23,0)</f>
        <v>0</v>
      </c>
      <c r="EA23" s="62">
        <f t="shared" ref="EA23:EA26" si="347">$DF23*BL23/30</f>
        <v>0</v>
      </c>
      <c r="EB23" s="62">
        <f t="shared" ref="EB23:EB26" si="348">EA23*$FH23</f>
        <v>0</v>
      </c>
      <c r="EC23" s="48">
        <f t="shared" ref="EC23:EC26" si="349">IFERROR(ROUNDUP(EA23/$EX23,0)*$EY23,0)</f>
        <v>0</v>
      </c>
      <c r="ED23" s="62">
        <f t="shared" ref="ED23:ED26" si="350">$DF23*BM23/30</f>
        <v>0</v>
      </c>
      <c r="EE23" s="62">
        <f t="shared" ref="EE23:EE26" si="351">ED23*$FH23</f>
        <v>0</v>
      </c>
      <c r="EF23" s="48">
        <f t="shared" ref="EF23:EF26" si="352">IFERROR(ROUNDUP(ED23/$EX23,0)*$EY23,0)</f>
        <v>0</v>
      </c>
      <c r="EG23" s="62">
        <f t="shared" ref="EG23:EG26" si="353">$DF23*BN23/30</f>
        <v>0</v>
      </c>
      <c r="EH23" s="62">
        <f t="shared" ref="EH23:EH26" si="354">EG23*$FH23</f>
        <v>0</v>
      </c>
      <c r="EI23" s="48">
        <f t="shared" ref="EI23:EI26" si="355">IFERROR(ROUNDUP(EG23/$EX23,0)*$EY23,0)</f>
        <v>0</v>
      </c>
      <c r="EJ23" s="62">
        <f t="shared" ref="EJ23:EJ26" si="356">$DF23*BO23/30</f>
        <v>0</v>
      </c>
      <c r="EK23" s="62">
        <f t="shared" ref="EK23:EK26" si="357">EJ23*$FH23</f>
        <v>0</v>
      </c>
      <c r="EL23" s="48">
        <f t="shared" ref="EL23:EL26" si="358">IFERROR(ROUNDUP(EJ23/$EX23,0)*$EY23,0)</f>
        <v>0</v>
      </c>
      <c r="EM23" s="62">
        <f t="shared" ref="EM23:EM26" si="359">$DF23*BP23/30</f>
        <v>0</v>
      </c>
      <c r="EN23" s="62">
        <f t="shared" ref="EN23:EN26" si="360">EM23*$FH23</f>
        <v>0</v>
      </c>
      <c r="EO23" s="48">
        <f t="shared" ref="EO23:EO26" si="361">IFERROR(ROUNDUP(EM23/$EX23,0)*$EY23,0)</f>
        <v>0</v>
      </c>
      <c r="EP23" s="62">
        <f t="shared" ref="EP23:ER26" si="362">BK23*$FH23</f>
        <v>364646.8</v>
      </c>
      <c r="EQ23" s="62">
        <f t="shared" si="362"/>
        <v>364646.8</v>
      </c>
      <c r="ER23" s="62">
        <f t="shared" si="362"/>
        <v>364646.8</v>
      </c>
      <c r="ES23" s="62">
        <f t="shared" ref="ES23:EU26" si="363">BN23*$FH23</f>
        <v>364646.8</v>
      </c>
      <c r="ET23" s="62">
        <f t="shared" si="363"/>
        <v>364646.8</v>
      </c>
      <c r="EU23" s="62">
        <f t="shared" si="363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64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 t="shared" si="57"/>
        <v>1</v>
      </c>
      <c r="FS23" s="104" t="b">
        <f t="shared" si="58"/>
        <v>1</v>
      </c>
      <c r="FT23" s="104" t="b">
        <f t="shared" si="59"/>
        <v>1</v>
      </c>
      <c r="FU23" s="104" t="b">
        <f t="shared" si="60"/>
        <v>1</v>
      </c>
      <c r="FV23" s="104" t="b">
        <f t="shared" si="61"/>
        <v>1</v>
      </c>
      <c r="FW23" s="104" t="b">
        <f t="shared" si="66"/>
        <v>0</v>
      </c>
      <c r="FX23" s="104" t="b">
        <f t="shared" ref="FX23:FX26" si="365">EXACT(FQ23,BI23)</f>
        <v>1</v>
      </c>
      <c r="FY23" s="104" t="s">
        <v>214</v>
      </c>
      <c r="FZ23" s="104" t="b">
        <f t="shared" ref="FZ23:FZ26" si="366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7">EXACT(GD23,C23)</f>
        <v>1</v>
      </c>
      <c r="GI23" s="108" t="b">
        <f t="shared" ref="GI23:GI26" si="368">EXACT(GG23,G23)</f>
        <v>0</v>
      </c>
    </row>
    <row r="24" spans="1:191" s="31" customFormat="1" ht="45" hidden="1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10"/>
        <v>нет минмакс</v>
      </c>
      <c r="Q24" s="95">
        <v>6809</v>
      </c>
      <c r="R24" s="95">
        <f t="shared" si="311"/>
        <v>65434.49</v>
      </c>
      <c r="S24" s="112">
        <v>6810</v>
      </c>
      <c r="T24" s="112">
        <v>65444.1</v>
      </c>
      <c r="U24" s="112">
        <f t="shared" si="312"/>
        <v>0</v>
      </c>
      <c r="V24" s="113">
        <f t="shared" si="313"/>
        <v>6809</v>
      </c>
      <c r="W24" s="113">
        <f t="shared" si="314"/>
        <v>65434.49</v>
      </c>
      <c r="X24" s="113">
        <f t="shared" si="315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6"/>
        <v>0</v>
      </c>
      <c r="AF24" s="95">
        <f t="shared" si="317"/>
        <v>0</v>
      </c>
      <c r="AG24" s="114">
        <v>0</v>
      </c>
      <c r="AH24" s="95">
        <f t="shared" si="318"/>
        <v>6809</v>
      </c>
      <c r="AI24" s="115">
        <f t="shared" si="319"/>
        <v>65434.49</v>
      </c>
      <c r="AJ24" s="95">
        <f t="shared" si="320"/>
        <v>0</v>
      </c>
      <c r="AK24" s="95">
        <f t="shared" si="321"/>
        <v>1</v>
      </c>
      <c r="AL24" s="95">
        <f t="shared" si="322"/>
        <v>1313</v>
      </c>
      <c r="AM24" s="95">
        <f t="shared" si="323"/>
        <v>1720</v>
      </c>
      <c r="AN24" s="95">
        <f t="shared" si="324"/>
        <v>237.55813953488371</v>
      </c>
      <c r="AO24" s="95" t="str">
        <f t="shared" si="325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6"/>
        <v>0-12</v>
      </c>
      <c r="AW24" s="117">
        <f t="shared" si="327"/>
        <v>65434.49</v>
      </c>
      <c r="AX24" s="25">
        <f t="shared" ref="AX24:AX25" si="369">MONTH(BC24)+6</f>
        <v>15</v>
      </c>
      <c r="AY24" s="25">
        <f t="shared" si="328"/>
        <v>65434.49</v>
      </c>
      <c r="AZ24" s="109" t="s">
        <v>1012</v>
      </c>
      <c r="BA24" s="26" t="s">
        <v>196</v>
      </c>
      <c r="BB24" s="26" t="s">
        <v>288</v>
      </c>
      <c r="BC24" s="27">
        <v>46266</v>
      </c>
      <c r="BD24" s="28"/>
      <c r="BE24" s="29">
        <v>0</v>
      </c>
      <c r="BF24" s="29">
        <f t="shared" si="329"/>
        <v>0</v>
      </c>
      <c r="BG24" s="29">
        <v>0</v>
      </c>
      <c r="BH24" s="29">
        <f t="shared" si="330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31"/>
        <v>860</v>
      </c>
      <c r="BR24" s="95">
        <f t="shared" si="332"/>
        <v>6809</v>
      </c>
      <c r="BS24" s="95">
        <f t="shared" si="333"/>
        <v>6809</v>
      </c>
      <c r="BT24" s="95">
        <f t="shared" si="333"/>
        <v>6809</v>
      </c>
      <c r="BU24" s="95">
        <f t="shared" si="333"/>
        <v>6809</v>
      </c>
      <c r="BV24" s="95">
        <f t="shared" si="333"/>
        <v>5369</v>
      </c>
      <c r="BW24" s="95">
        <f t="shared" si="333"/>
        <v>5089</v>
      </c>
      <c r="BX24" s="95">
        <f t="shared" si="334"/>
        <v>4229</v>
      </c>
      <c r="BY24" s="95">
        <f t="shared" si="334"/>
        <v>3369</v>
      </c>
      <c r="BZ24" s="95">
        <f t="shared" si="334"/>
        <v>2509</v>
      </c>
      <c r="CA24" s="95">
        <f t="shared" si="334"/>
        <v>1649</v>
      </c>
      <c r="CB24" s="95">
        <f t="shared" si="334"/>
        <v>789</v>
      </c>
      <c r="CC24" s="95">
        <f t="shared" si="334"/>
        <v>-71</v>
      </c>
      <c r="CD24" s="95">
        <f t="shared" si="334"/>
        <v>-931</v>
      </c>
      <c r="CE24" s="95">
        <f t="shared" si="334"/>
        <v>-1791</v>
      </c>
      <c r="CF24" s="95">
        <f t="shared" si="334"/>
        <v>-2651</v>
      </c>
      <c r="CG24" s="95">
        <f t="shared" si="334"/>
        <v>-3511</v>
      </c>
      <c r="CH24" s="95">
        <f t="shared" si="334"/>
        <v>-4371</v>
      </c>
      <c r="CI24" s="95">
        <f t="shared" si="334"/>
        <v>-5231</v>
      </c>
      <c r="CJ24" s="95">
        <f t="shared" si="334"/>
        <v>-6091</v>
      </c>
      <c r="CK24" s="95">
        <f t="shared" si="334"/>
        <v>-6951</v>
      </c>
      <c r="CL24" s="95">
        <f t="shared" si="334"/>
        <v>-7811</v>
      </c>
      <c r="CM24" s="95">
        <f t="shared" si="334"/>
        <v>-8671</v>
      </c>
      <c r="CN24" s="95">
        <f t="shared" si="334"/>
        <v>-9531</v>
      </c>
      <c r="CO24" s="95">
        <f t="shared" si="334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35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6"/>
        <v>0</v>
      </c>
      <c r="DB24" s="62">
        <f t="shared" si="337"/>
        <v>0</v>
      </c>
      <c r="DC24" s="62">
        <f t="shared" si="338"/>
        <v>0</v>
      </c>
      <c r="DD24" s="102">
        <f t="shared" si="339"/>
        <v>0</v>
      </c>
      <c r="DE24" s="31">
        <v>0</v>
      </c>
      <c r="DF24" s="31">
        <v>90</v>
      </c>
      <c r="DG24" s="31">
        <v>0</v>
      </c>
      <c r="DH24" s="48">
        <f t="shared" si="340"/>
        <v>0</v>
      </c>
      <c r="DI24" s="62">
        <v>7941.71</v>
      </c>
      <c r="DJ24" s="62">
        <v>76294.471999999994</v>
      </c>
      <c r="DK24" s="48">
        <f t="shared" si="341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42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43"/>
        <v>0</v>
      </c>
      <c r="DV24" s="62">
        <v>0</v>
      </c>
      <c r="DW24" s="62">
        <v>0</v>
      </c>
      <c r="DX24" s="62">
        <f t="shared" si="344"/>
        <v>0</v>
      </c>
      <c r="DY24" s="62">
        <f t="shared" si="345"/>
        <v>0</v>
      </c>
      <c r="DZ24" s="48">
        <f t="shared" si="346"/>
        <v>0</v>
      </c>
      <c r="EA24" s="62">
        <f t="shared" si="347"/>
        <v>0</v>
      </c>
      <c r="EB24" s="62">
        <f t="shared" si="348"/>
        <v>0</v>
      </c>
      <c r="EC24" s="48">
        <f t="shared" si="349"/>
        <v>0</v>
      </c>
      <c r="ED24" s="62">
        <f t="shared" si="350"/>
        <v>0</v>
      </c>
      <c r="EE24" s="62">
        <f t="shared" si="351"/>
        <v>0</v>
      </c>
      <c r="EF24" s="48">
        <f t="shared" si="352"/>
        <v>0</v>
      </c>
      <c r="EG24" s="62">
        <f t="shared" si="353"/>
        <v>0</v>
      </c>
      <c r="EH24" s="62">
        <f t="shared" si="354"/>
        <v>0</v>
      </c>
      <c r="EI24" s="48">
        <f t="shared" si="355"/>
        <v>0</v>
      </c>
      <c r="EJ24" s="62">
        <f t="shared" si="356"/>
        <v>4320</v>
      </c>
      <c r="EK24" s="62">
        <f t="shared" si="357"/>
        <v>41515.199999999997</v>
      </c>
      <c r="EL24" s="48">
        <f t="shared" si="358"/>
        <v>0</v>
      </c>
      <c r="EM24" s="62">
        <f t="shared" si="359"/>
        <v>840</v>
      </c>
      <c r="EN24" s="62">
        <f t="shared" si="360"/>
        <v>8072.4</v>
      </c>
      <c r="EO24" s="48">
        <f t="shared" si="361"/>
        <v>0</v>
      </c>
      <c r="EP24" s="62">
        <f t="shared" si="362"/>
        <v>0</v>
      </c>
      <c r="EQ24" s="62">
        <f t="shared" si="362"/>
        <v>0</v>
      </c>
      <c r="ER24" s="62">
        <f t="shared" si="362"/>
        <v>0</v>
      </c>
      <c r="ES24" s="62">
        <f t="shared" si="363"/>
        <v>0</v>
      </c>
      <c r="ET24" s="62">
        <f t="shared" si="363"/>
        <v>13838.4</v>
      </c>
      <c r="EU24" s="62">
        <f t="shared" si="363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64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 t="shared" si="57"/>
        <v>1</v>
      </c>
      <c r="FS24" s="103" t="b">
        <f t="shared" si="58"/>
        <v>1</v>
      </c>
      <c r="FT24" s="103" t="b">
        <f t="shared" si="59"/>
        <v>1</v>
      </c>
      <c r="FU24" s="103" t="b">
        <f t="shared" si="60"/>
        <v>0</v>
      </c>
      <c r="FV24" s="103" t="b">
        <f t="shared" si="61"/>
        <v>1</v>
      </c>
      <c r="FW24" s="104" t="b">
        <f t="shared" si="66"/>
        <v>0</v>
      </c>
      <c r="FX24" s="120" t="b">
        <f t="shared" si="365"/>
        <v>1</v>
      </c>
      <c r="FY24" s="104" t="s">
        <v>214</v>
      </c>
      <c r="FZ24" s="104" t="b">
        <f t="shared" si="366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7"/>
        <v>1</v>
      </c>
      <c r="GI24" s="8" t="b">
        <f t="shared" si="368"/>
        <v>0</v>
      </c>
    </row>
    <row r="25" spans="1:191" s="31" customFormat="1" ht="45" hidden="1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10"/>
        <v>нет минмакс</v>
      </c>
      <c r="Q25" s="95">
        <v>6807</v>
      </c>
      <c r="R25" s="95">
        <f t="shared" si="311"/>
        <v>65415.27</v>
      </c>
      <c r="S25" s="112">
        <v>6808</v>
      </c>
      <c r="T25" s="112">
        <v>65424.88</v>
      </c>
      <c r="U25" s="112">
        <f t="shared" si="312"/>
        <v>0</v>
      </c>
      <c r="V25" s="113">
        <f t="shared" si="313"/>
        <v>6807</v>
      </c>
      <c r="W25" s="113">
        <f t="shared" si="314"/>
        <v>65415.27</v>
      </c>
      <c r="X25" s="113">
        <f t="shared" si="315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6"/>
        <v>0</v>
      </c>
      <c r="AF25" s="95">
        <f t="shared" si="317"/>
        <v>0</v>
      </c>
      <c r="AG25" s="114">
        <v>0</v>
      </c>
      <c r="AH25" s="95">
        <f t="shared" si="318"/>
        <v>6807</v>
      </c>
      <c r="AI25" s="115">
        <f t="shared" si="319"/>
        <v>65415.27</v>
      </c>
      <c r="AJ25" s="95">
        <f t="shared" si="320"/>
        <v>0</v>
      </c>
      <c r="AK25" s="95">
        <f t="shared" si="321"/>
        <v>1</v>
      </c>
      <c r="AL25" s="95">
        <f t="shared" si="322"/>
        <v>1313</v>
      </c>
      <c r="AM25" s="95">
        <f t="shared" si="323"/>
        <v>1720</v>
      </c>
      <c r="AN25" s="95">
        <f t="shared" si="324"/>
        <v>237.48837209302326</v>
      </c>
      <c r="AO25" s="95" t="str">
        <f t="shared" si="325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6"/>
        <v>0-12</v>
      </c>
      <c r="AW25" s="117">
        <f t="shared" si="327"/>
        <v>65415.27</v>
      </c>
      <c r="AX25" s="25">
        <f t="shared" si="369"/>
        <v>15</v>
      </c>
      <c r="AY25" s="25">
        <f t="shared" si="328"/>
        <v>65415.27</v>
      </c>
      <c r="AZ25" s="109" t="s">
        <v>1012</v>
      </c>
      <c r="BA25" s="26" t="s">
        <v>196</v>
      </c>
      <c r="BB25" s="26" t="s">
        <v>288</v>
      </c>
      <c r="BC25" s="27">
        <v>46266</v>
      </c>
      <c r="BD25" s="28"/>
      <c r="BE25" s="29">
        <v>0</v>
      </c>
      <c r="BF25" s="29">
        <f t="shared" si="329"/>
        <v>0</v>
      </c>
      <c r="BG25" s="29">
        <v>0</v>
      </c>
      <c r="BH25" s="29">
        <f t="shared" si="330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31"/>
        <v>860</v>
      </c>
      <c r="BR25" s="95">
        <f t="shared" si="332"/>
        <v>6807</v>
      </c>
      <c r="BS25" s="95">
        <f t="shared" si="333"/>
        <v>6807</v>
      </c>
      <c r="BT25" s="95">
        <f t="shared" si="333"/>
        <v>6807</v>
      </c>
      <c r="BU25" s="95">
        <f t="shared" si="333"/>
        <v>6807</v>
      </c>
      <c r="BV25" s="95">
        <f t="shared" si="333"/>
        <v>5367</v>
      </c>
      <c r="BW25" s="95">
        <f t="shared" si="333"/>
        <v>5087</v>
      </c>
      <c r="BX25" s="95">
        <f t="shared" si="334"/>
        <v>4227</v>
      </c>
      <c r="BY25" s="95">
        <f t="shared" si="334"/>
        <v>3367</v>
      </c>
      <c r="BZ25" s="95">
        <f t="shared" si="334"/>
        <v>2507</v>
      </c>
      <c r="CA25" s="95">
        <f t="shared" si="334"/>
        <v>1647</v>
      </c>
      <c r="CB25" s="95">
        <f t="shared" si="334"/>
        <v>787</v>
      </c>
      <c r="CC25" s="95">
        <f t="shared" si="334"/>
        <v>-73</v>
      </c>
      <c r="CD25" s="95">
        <f t="shared" si="334"/>
        <v>-933</v>
      </c>
      <c r="CE25" s="95">
        <f t="shared" si="334"/>
        <v>-1793</v>
      </c>
      <c r="CF25" s="95">
        <f t="shared" si="334"/>
        <v>-2653</v>
      </c>
      <c r="CG25" s="95">
        <f t="shared" si="334"/>
        <v>-3513</v>
      </c>
      <c r="CH25" s="95">
        <f t="shared" si="334"/>
        <v>-4373</v>
      </c>
      <c r="CI25" s="95">
        <f t="shared" si="334"/>
        <v>-5233</v>
      </c>
      <c r="CJ25" s="95">
        <f t="shared" si="334"/>
        <v>-6093</v>
      </c>
      <c r="CK25" s="95">
        <f t="shared" si="334"/>
        <v>-6953</v>
      </c>
      <c r="CL25" s="95">
        <f t="shared" si="334"/>
        <v>-7813</v>
      </c>
      <c r="CM25" s="95">
        <f t="shared" si="334"/>
        <v>-8673</v>
      </c>
      <c r="CN25" s="95">
        <f t="shared" si="334"/>
        <v>-9533</v>
      </c>
      <c r="CO25" s="95">
        <f t="shared" si="334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35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6"/>
        <v>0</v>
      </c>
      <c r="DB25" s="62">
        <f t="shared" si="337"/>
        <v>0</v>
      </c>
      <c r="DC25" s="62">
        <f t="shared" si="338"/>
        <v>0</v>
      </c>
      <c r="DD25" s="102">
        <f t="shared" si="339"/>
        <v>0</v>
      </c>
      <c r="DE25" s="31">
        <v>0</v>
      </c>
      <c r="DF25" s="31">
        <v>90</v>
      </c>
      <c r="DG25" s="31">
        <v>0</v>
      </c>
      <c r="DH25" s="48">
        <f t="shared" si="340"/>
        <v>0</v>
      </c>
      <c r="DI25" s="62">
        <v>7941.71</v>
      </c>
      <c r="DJ25" s="62">
        <v>76294.471999999994</v>
      </c>
      <c r="DK25" s="48">
        <f t="shared" si="341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42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43"/>
        <v>0</v>
      </c>
      <c r="DV25" s="62">
        <v>0</v>
      </c>
      <c r="DW25" s="62">
        <v>0</v>
      </c>
      <c r="DX25" s="62">
        <f t="shared" si="344"/>
        <v>0</v>
      </c>
      <c r="DY25" s="62">
        <f t="shared" si="345"/>
        <v>0</v>
      </c>
      <c r="DZ25" s="48">
        <f t="shared" si="346"/>
        <v>0</v>
      </c>
      <c r="EA25" s="62">
        <f t="shared" si="347"/>
        <v>0</v>
      </c>
      <c r="EB25" s="62">
        <f t="shared" si="348"/>
        <v>0</v>
      </c>
      <c r="EC25" s="48">
        <f t="shared" si="349"/>
        <v>0</v>
      </c>
      <c r="ED25" s="62">
        <f t="shared" si="350"/>
        <v>0</v>
      </c>
      <c r="EE25" s="62">
        <f t="shared" si="351"/>
        <v>0</v>
      </c>
      <c r="EF25" s="48">
        <f t="shared" si="352"/>
        <v>0</v>
      </c>
      <c r="EG25" s="62">
        <f t="shared" si="353"/>
        <v>0</v>
      </c>
      <c r="EH25" s="62">
        <f t="shared" si="354"/>
        <v>0</v>
      </c>
      <c r="EI25" s="48">
        <f t="shared" si="355"/>
        <v>0</v>
      </c>
      <c r="EJ25" s="62">
        <f t="shared" si="356"/>
        <v>4320</v>
      </c>
      <c r="EK25" s="62">
        <f t="shared" si="357"/>
        <v>41515.199999999997</v>
      </c>
      <c r="EL25" s="48">
        <f t="shared" si="358"/>
        <v>0</v>
      </c>
      <c r="EM25" s="62">
        <f t="shared" si="359"/>
        <v>840</v>
      </c>
      <c r="EN25" s="62">
        <f t="shared" si="360"/>
        <v>8072.4</v>
      </c>
      <c r="EO25" s="48">
        <f t="shared" si="361"/>
        <v>0</v>
      </c>
      <c r="EP25" s="62">
        <f t="shared" si="362"/>
        <v>0</v>
      </c>
      <c r="EQ25" s="62">
        <f t="shared" si="362"/>
        <v>0</v>
      </c>
      <c r="ER25" s="62">
        <f t="shared" si="362"/>
        <v>0</v>
      </c>
      <c r="ES25" s="62">
        <f t="shared" si="363"/>
        <v>0</v>
      </c>
      <c r="ET25" s="62">
        <f t="shared" si="363"/>
        <v>13838.4</v>
      </c>
      <c r="EU25" s="62">
        <f t="shared" si="363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64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 t="shared" si="57"/>
        <v>1</v>
      </c>
      <c r="FS25" s="103" t="b">
        <f t="shared" si="58"/>
        <v>1</v>
      </c>
      <c r="FT25" s="103" t="b">
        <f t="shared" si="59"/>
        <v>1</v>
      </c>
      <c r="FU25" s="103" t="b">
        <f t="shared" si="60"/>
        <v>0</v>
      </c>
      <c r="FV25" s="103" t="b">
        <f t="shared" si="61"/>
        <v>1</v>
      </c>
      <c r="FW25" s="104" t="b">
        <f t="shared" si="66"/>
        <v>0</v>
      </c>
      <c r="FX25" s="120" t="b">
        <f t="shared" si="365"/>
        <v>1</v>
      </c>
      <c r="FY25" s="104" t="s">
        <v>214</v>
      </c>
      <c r="FZ25" s="104" t="b">
        <f t="shared" si="366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7"/>
        <v>1</v>
      </c>
      <c r="GI25" s="8" t="b">
        <f t="shared" si="368"/>
        <v>0</v>
      </c>
    </row>
    <row r="26" spans="1:191" s="31" customFormat="1" ht="45" hidden="1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10"/>
        <v>нет минмакс</v>
      </c>
      <c r="Q26" s="95">
        <v>129</v>
      </c>
      <c r="R26" s="95">
        <f t="shared" si="311"/>
        <v>2979.9</v>
      </c>
      <c r="S26" s="112">
        <v>129</v>
      </c>
      <c r="T26" s="112">
        <v>2979.9</v>
      </c>
      <c r="U26" s="112">
        <f t="shared" si="312"/>
        <v>0</v>
      </c>
      <c r="V26" s="113">
        <f t="shared" si="313"/>
        <v>129</v>
      </c>
      <c r="W26" s="113">
        <f t="shared" si="314"/>
        <v>2979.9</v>
      </c>
      <c r="X26" s="113">
        <f t="shared" si="315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6"/>
        <v>0</v>
      </c>
      <c r="AF26" s="95">
        <f t="shared" si="317"/>
        <v>0</v>
      </c>
      <c r="AG26" s="114">
        <v>0</v>
      </c>
      <c r="AH26" s="95">
        <f t="shared" si="318"/>
        <v>129</v>
      </c>
      <c r="AI26" s="115">
        <f t="shared" si="319"/>
        <v>2979.9</v>
      </c>
      <c r="AJ26" s="95">
        <f t="shared" si="320"/>
        <v>0</v>
      </c>
      <c r="AK26" s="95">
        <f t="shared" si="321"/>
        <v>0</v>
      </c>
      <c r="AL26" s="95">
        <f t="shared" si="322"/>
        <v>371</v>
      </c>
      <c r="AM26" s="95">
        <f t="shared" si="323"/>
        <v>430</v>
      </c>
      <c r="AN26" s="95">
        <f t="shared" si="324"/>
        <v>18</v>
      </c>
      <c r="AO26" s="95" t="str">
        <f t="shared" si="325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6"/>
        <v>0-05</v>
      </c>
      <c r="AW26" s="117">
        <f t="shared" si="327"/>
        <v>0</v>
      </c>
      <c r="AX26" s="118"/>
      <c r="AY26" s="25">
        <f t="shared" si="328"/>
        <v>0</v>
      </c>
      <c r="AZ26" s="109" t="s">
        <v>1012</v>
      </c>
      <c r="BA26" s="26" t="s">
        <v>196</v>
      </c>
      <c r="BB26" s="26" t="s">
        <v>252</v>
      </c>
      <c r="BC26" s="27">
        <v>45962</v>
      </c>
      <c r="BD26" s="28"/>
      <c r="BE26" s="29">
        <v>0</v>
      </c>
      <c r="BF26" s="29">
        <f t="shared" si="329"/>
        <v>0</v>
      </c>
      <c r="BG26" s="29">
        <v>0</v>
      </c>
      <c r="BH26" s="29">
        <f t="shared" si="330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31"/>
        <v>215</v>
      </c>
      <c r="BR26" s="95">
        <f t="shared" si="332"/>
        <v>129</v>
      </c>
      <c r="BS26" s="95">
        <f t="shared" si="333"/>
        <v>129</v>
      </c>
      <c r="BT26" s="95">
        <f t="shared" si="333"/>
        <v>129</v>
      </c>
      <c r="BU26" s="95">
        <f t="shared" si="333"/>
        <v>129</v>
      </c>
      <c r="BV26" s="95">
        <f t="shared" si="333"/>
        <v>-231</v>
      </c>
      <c r="BW26" s="95">
        <f t="shared" si="333"/>
        <v>-301</v>
      </c>
      <c r="BX26" s="95">
        <f t="shared" si="334"/>
        <v>-516</v>
      </c>
      <c r="BY26" s="95">
        <f t="shared" si="334"/>
        <v>-731</v>
      </c>
      <c r="BZ26" s="95">
        <f t="shared" si="334"/>
        <v>-946</v>
      </c>
      <c r="CA26" s="95">
        <f t="shared" si="334"/>
        <v>-1161</v>
      </c>
      <c r="CB26" s="95">
        <f t="shared" si="334"/>
        <v>-1376</v>
      </c>
      <c r="CC26" s="95">
        <f t="shared" si="334"/>
        <v>-1591</v>
      </c>
      <c r="CD26" s="95">
        <f t="shared" si="334"/>
        <v>-1806</v>
      </c>
      <c r="CE26" s="95">
        <f t="shared" si="334"/>
        <v>-2021</v>
      </c>
      <c r="CF26" s="95">
        <f t="shared" si="334"/>
        <v>-2236</v>
      </c>
      <c r="CG26" s="95">
        <f t="shared" si="334"/>
        <v>-2451</v>
      </c>
      <c r="CH26" s="95">
        <f t="shared" si="334"/>
        <v>-2666</v>
      </c>
      <c r="CI26" s="95">
        <f t="shared" si="334"/>
        <v>-2881</v>
      </c>
      <c r="CJ26" s="95">
        <f t="shared" si="334"/>
        <v>-3096</v>
      </c>
      <c r="CK26" s="95">
        <f t="shared" si="334"/>
        <v>-3311</v>
      </c>
      <c r="CL26" s="95">
        <f t="shared" si="334"/>
        <v>-3526</v>
      </c>
      <c r="CM26" s="95">
        <f t="shared" si="334"/>
        <v>-3741</v>
      </c>
      <c r="CN26" s="95">
        <f t="shared" si="334"/>
        <v>-3956</v>
      </c>
      <c r="CO26" s="95">
        <f t="shared" si="334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35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6"/>
        <v>0</v>
      </c>
      <c r="DB26" s="62">
        <f t="shared" si="337"/>
        <v>0</v>
      </c>
      <c r="DC26" s="62">
        <f t="shared" si="338"/>
        <v>0</v>
      </c>
      <c r="DD26" s="102">
        <f t="shared" si="339"/>
        <v>0</v>
      </c>
      <c r="DE26" s="31">
        <v>0</v>
      </c>
      <c r="DF26" s="31">
        <v>90</v>
      </c>
      <c r="DG26" s="31">
        <v>0</v>
      </c>
      <c r="DH26" s="48">
        <f t="shared" si="340"/>
        <v>0</v>
      </c>
      <c r="DI26" s="62">
        <v>454.90300000000002</v>
      </c>
      <c r="DJ26" s="62">
        <v>10509.420000000002</v>
      </c>
      <c r="DK26" s="48">
        <f t="shared" si="341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42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43"/>
        <v>0</v>
      </c>
      <c r="DV26" s="62">
        <v>0</v>
      </c>
      <c r="DW26" s="62">
        <v>0</v>
      </c>
      <c r="DX26" s="62">
        <f t="shared" si="344"/>
        <v>0</v>
      </c>
      <c r="DY26" s="62">
        <f t="shared" si="345"/>
        <v>0</v>
      </c>
      <c r="DZ26" s="48">
        <f t="shared" si="346"/>
        <v>0</v>
      </c>
      <c r="EA26" s="62">
        <f t="shared" si="347"/>
        <v>0</v>
      </c>
      <c r="EB26" s="62">
        <f t="shared" si="348"/>
        <v>0</v>
      </c>
      <c r="EC26" s="48">
        <f t="shared" si="349"/>
        <v>0</v>
      </c>
      <c r="ED26" s="62">
        <f t="shared" si="350"/>
        <v>0</v>
      </c>
      <c r="EE26" s="62">
        <f t="shared" si="351"/>
        <v>0</v>
      </c>
      <c r="EF26" s="48">
        <f t="shared" si="352"/>
        <v>0</v>
      </c>
      <c r="EG26" s="62">
        <f t="shared" si="353"/>
        <v>0</v>
      </c>
      <c r="EH26" s="62">
        <f t="shared" si="354"/>
        <v>0</v>
      </c>
      <c r="EI26" s="48">
        <f t="shared" si="355"/>
        <v>0</v>
      </c>
      <c r="EJ26" s="62">
        <f t="shared" si="356"/>
        <v>1080</v>
      </c>
      <c r="EK26" s="62">
        <f t="shared" si="357"/>
        <v>24948</v>
      </c>
      <c r="EL26" s="48">
        <f t="shared" si="358"/>
        <v>0</v>
      </c>
      <c r="EM26" s="62">
        <f t="shared" si="359"/>
        <v>210</v>
      </c>
      <c r="EN26" s="62">
        <f t="shared" si="360"/>
        <v>4851</v>
      </c>
      <c r="EO26" s="48">
        <f t="shared" si="361"/>
        <v>0</v>
      </c>
      <c r="EP26" s="62">
        <f t="shared" si="362"/>
        <v>0</v>
      </c>
      <c r="EQ26" s="62">
        <f t="shared" si="362"/>
        <v>0</v>
      </c>
      <c r="ER26" s="62">
        <f t="shared" si="362"/>
        <v>0</v>
      </c>
      <c r="ES26" s="62">
        <f t="shared" si="363"/>
        <v>0</v>
      </c>
      <c r="ET26" s="62">
        <f t="shared" si="363"/>
        <v>8316</v>
      </c>
      <c r="EU26" s="62">
        <f t="shared" si="363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64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 t="shared" si="57"/>
        <v>1</v>
      </c>
      <c r="FS26" s="103" t="b">
        <f t="shared" si="58"/>
        <v>1</v>
      </c>
      <c r="FT26" s="103" t="b">
        <f t="shared" si="59"/>
        <v>1</v>
      </c>
      <c r="FU26" s="103" t="b">
        <f t="shared" si="60"/>
        <v>0</v>
      </c>
      <c r="FV26" s="103" t="b">
        <f t="shared" si="61"/>
        <v>1</v>
      </c>
      <c r="FW26" s="104" t="b">
        <f t="shared" si="66"/>
        <v>0</v>
      </c>
      <c r="FX26" s="120" t="b">
        <f t="shared" si="365"/>
        <v>1</v>
      </c>
      <c r="FY26" s="104" t="s">
        <v>214</v>
      </c>
      <c r="FZ26" s="104" t="b">
        <f t="shared" si="366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7"/>
        <v>1</v>
      </c>
      <c r="GI26" s="8" t="b">
        <f t="shared" si="368"/>
        <v>0</v>
      </c>
    </row>
    <row r="27" spans="1:191" s="31" customFormat="1" ht="30" hidden="1" x14ac:dyDescent="0.25">
      <c r="A27" s="93">
        <v>167962</v>
      </c>
      <c r="B27" s="93" t="s">
        <v>295</v>
      </c>
      <c r="C27" s="110" t="s">
        <v>214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70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71">Q27*FH27</f>
        <v>1063694.5999999999</v>
      </c>
      <c r="S27" s="94">
        <v>1196</v>
      </c>
      <c r="T27" s="94">
        <v>1363511.76</v>
      </c>
      <c r="U27" s="94">
        <f t="shared" ref="U27:U30" si="372">IFERROR(ROUNDUP(S27/$EX27,0)*$EY27,0)</f>
        <v>9</v>
      </c>
      <c r="V27" s="94">
        <f t="shared" ref="V27:V30" si="373">SUM(Z27:AD27)</f>
        <v>552</v>
      </c>
      <c r="W27" s="94">
        <f t="shared" ref="W27:W30" si="374">V27*FH27</f>
        <v>624637.67999999993</v>
      </c>
      <c r="X27" s="94">
        <f t="shared" ref="X27:X30" si="375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6">AA27*FH27</f>
        <v>0</v>
      </c>
      <c r="AF27" s="95">
        <f t="shared" ref="AF27:AF30" si="377">AB27*FH27</f>
        <v>624637.67999999993</v>
      </c>
      <c r="AG27" s="96">
        <v>8</v>
      </c>
      <c r="AH27" s="95">
        <f t="shared" ref="AH27:AH30" si="378">V27-AG27</f>
        <v>544</v>
      </c>
      <c r="AI27" s="94">
        <f t="shared" ref="AI27:AI30" si="379">IF(AH27&gt;0,AH27*FH27,0)</f>
        <v>615584.96</v>
      </c>
      <c r="AJ27" s="94">
        <f t="shared" ref="AJ27:AJ30" si="380">CU27</f>
        <v>8</v>
      </c>
      <c r="AK27" s="94">
        <f t="shared" ref="AK27:AK28" si="381">SUM(CS27:CU27)</f>
        <v>292</v>
      </c>
      <c r="AL27" s="94">
        <f t="shared" ref="AL27:AL30" si="382">SUM(CP27:CU27)</f>
        <v>1663</v>
      </c>
      <c r="AM27" s="94">
        <f t="shared" ref="AM27:AM30" si="383">SUM(BK27:BP27)</f>
        <v>2100</v>
      </c>
      <c r="AN27" s="94">
        <f t="shared" ref="AN27:AN30" si="384">IFERROR(S27/BQ27*30,"нет оборота")</f>
        <v>102.51428571428572</v>
      </c>
      <c r="AO27" s="94" t="str">
        <f t="shared" ref="AO27:AO30" si="385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6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7">IF(AT27="Да",W27,0)</f>
        <v>624637.67999999993</v>
      </c>
      <c r="AX27" s="14">
        <f t="shared" ref="AX27:AX30" si="388">MONTH(BC27)-6</f>
        <v>3</v>
      </c>
      <c r="AY27" s="94">
        <f t="shared" ref="AY27:AY30" si="389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90">BE27*FH27</f>
        <v>0</v>
      </c>
      <c r="BG27" s="29">
        <v>0</v>
      </c>
      <c r="BH27" s="29">
        <f t="shared" ref="BH27:BH30" si="391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92">IF(COUNTIF(BK27:BP27,"&gt;0")=0,0,SUM(BK27:BP27)/COUNTIF(BK27:BP27,"&gt;0"))</f>
        <v>350</v>
      </c>
      <c r="BR27" s="95">
        <f t="shared" ref="BR27:BR30" si="393">IF(OR(Q27=0,SUM(BK27:BP27)=0,V27&gt;Q27),V27-BK27,Q27-BK27)</f>
        <v>590</v>
      </c>
      <c r="BS27" s="95">
        <f t="shared" ref="BS27:BW30" si="394">BR27-BL27</f>
        <v>240</v>
      </c>
      <c r="BT27" s="95">
        <f t="shared" si="394"/>
        <v>-110</v>
      </c>
      <c r="BU27" s="95">
        <f t="shared" si="394"/>
        <v>-460</v>
      </c>
      <c r="BV27" s="95">
        <f t="shared" si="394"/>
        <v>-810</v>
      </c>
      <c r="BW27" s="95">
        <f t="shared" si="394"/>
        <v>-1160</v>
      </c>
      <c r="BX27" s="95">
        <f t="shared" ref="BX27:CO29" si="395">BW27-$BQ27</f>
        <v>-1510</v>
      </c>
      <c r="BY27" s="95">
        <f t="shared" si="395"/>
        <v>-1860</v>
      </c>
      <c r="BZ27" s="95">
        <f t="shared" si="395"/>
        <v>-2210</v>
      </c>
      <c r="CA27" s="95">
        <f t="shared" si="395"/>
        <v>-2560</v>
      </c>
      <c r="CB27" s="95">
        <f t="shared" si="395"/>
        <v>-2910</v>
      </c>
      <c r="CC27" s="95">
        <f t="shared" si="395"/>
        <v>-3260</v>
      </c>
      <c r="CD27" s="95">
        <f t="shared" si="395"/>
        <v>-3610</v>
      </c>
      <c r="CE27" s="95">
        <f t="shared" si="395"/>
        <v>-3960</v>
      </c>
      <c r="CF27" s="95">
        <f t="shared" si="395"/>
        <v>-4310</v>
      </c>
      <c r="CG27" s="95">
        <f t="shared" si="395"/>
        <v>-4660</v>
      </c>
      <c r="CH27" s="95">
        <f t="shared" si="395"/>
        <v>-5010</v>
      </c>
      <c r="CI27" s="95">
        <f t="shared" si="395"/>
        <v>-5360</v>
      </c>
      <c r="CJ27" s="95">
        <f t="shared" si="395"/>
        <v>-5710</v>
      </c>
      <c r="CK27" s="95">
        <f t="shared" si="395"/>
        <v>-6060</v>
      </c>
      <c r="CL27" s="95">
        <f t="shared" si="395"/>
        <v>-6410</v>
      </c>
      <c r="CM27" s="95">
        <f t="shared" si="395"/>
        <v>-6760</v>
      </c>
      <c r="CN27" s="95">
        <f t="shared" si="395"/>
        <v>-7110</v>
      </c>
      <c r="CO27" s="95">
        <f t="shared" si="395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6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7">IFERROR(CZ27/CY27,0)</f>
        <v>6.3266893534273214E-2</v>
      </c>
      <c r="DB27" s="62">
        <f t="shared" ref="DB27:DB30" si="398">CY27*FH27</f>
        <v>643895.05670816044</v>
      </c>
      <c r="DC27" s="62">
        <f t="shared" ref="DC27:DC30" si="399">CZ27*FH27</f>
        <v>40737.24</v>
      </c>
      <c r="DD27" s="102">
        <f t="shared" ref="DD27:DD30" si="400">IFERROR(DC27/DB27,0)</f>
        <v>6.3266893534273214E-2</v>
      </c>
      <c r="DE27" s="31">
        <v>0</v>
      </c>
      <c r="DG27" s="31">
        <v>0</v>
      </c>
      <c r="DH27" s="48">
        <f t="shared" ref="DH27:DH30" si="401">IFERROR(ROUNDUP(DG27/$EX27,0)*$EY27,0)</f>
        <v>0</v>
      </c>
      <c r="DI27" s="62">
        <v>1635.645</v>
      </c>
      <c r="DJ27" s="62">
        <v>1831878.392</v>
      </c>
      <c r="DK27" s="48">
        <f t="shared" ref="DK27:DK30" si="402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403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404">IFERROR(ROUNDUP(DS27/$EX27,0)*$EY27,0)</f>
        <v>8</v>
      </c>
      <c r="DV27" s="62">
        <v>36</v>
      </c>
      <c r="DW27" s="62">
        <v>40802.519745762707</v>
      </c>
      <c r="DX27" s="62">
        <f t="shared" ref="DX27:DX30" si="405">$DF27*BK27/30</f>
        <v>0</v>
      </c>
      <c r="DY27" s="62">
        <f t="shared" ref="DY27:DY30" si="406">DX27*$FH27</f>
        <v>0</v>
      </c>
      <c r="DZ27" s="48">
        <f t="shared" ref="DZ27:DZ30" si="407">IFERROR(ROUNDUP(DX27/$EX27,0)*$EY27,0)</f>
        <v>0</v>
      </c>
      <c r="EA27" s="62">
        <f t="shared" ref="EA27:EA30" si="408">$DF27*BL27/30</f>
        <v>0</v>
      </c>
      <c r="EB27" s="62">
        <f t="shared" ref="EB27:EB30" si="409">EA27*$FH27</f>
        <v>0</v>
      </c>
      <c r="EC27" s="48">
        <f t="shared" ref="EC27:EC30" si="410">IFERROR(ROUNDUP(EA27/$EX27,0)*$EY27,0)</f>
        <v>0</v>
      </c>
      <c r="ED27" s="62">
        <f t="shared" ref="ED27:ED30" si="411">$DF27*BM27/30</f>
        <v>0</v>
      </c>
      <c r="EE27" s="62">
        <f t="shared" ref="EE27:EE30" si="412">ED27*$FH27</f>
        <v>0</v>
      </c>
      <c r="EF27" s="48">
        <f t="shared" ref="EF27:EF30" si="413">IFERROR(ROUNDUP(ED27/$EX27,0)*$EY27,0)</f>
        <v>0</v>
      </c>
      <c r="EG27" s="62">
        <f t="shared" ref="EG27:EG30" si="414">$DF27*BN27/30</f>
        <v>0</v>
      </c>
      <c r="EH27" s="62">
        <f t="shared" ref="EH27:EH30" si="415">EG27*$FH27</f>
        <v>0</v>
      </c>
      <c r="EI27" s="48">
        <f t="shared" ref="EI27:EI30" si="416">IFERROR(ROUNDUP(EG27/$EX27,0)*$EY27,0)</f>
        <v>0</v>
      </c>
      <c r="EJ27" s="62">
        <f t="shared" ref="EJ27:EJ30" si="417">$DF27*BO27/30</f>
        <v>0</v>
      </c>
      <c r="EK27" s="62">
        <f t="shared" ref="EK27:EK30" si="418">EJ27*$FH27</f>
        <v>0</v>
      </c>
      <c r="EL27" s="48">
        <f t="shared" ref="EL27:EL30" si="419">IFERROR(ROUNDUP(EJ27/$EX27,0)*$EY27,0)</f>
        <v>0</v>
      </c>
      <c r="EM27" s="62">
        <f t="shared" ref="EM27:EM30" si="420">$DF27*BP27/30</f>
        <v>0</v>
      </c>
      <c r="EN27" s="62">
        <f t="shared" ref="EN27:EN30" si="421">EM27*$FH27</f>
        <v>0</v>
      </c>
      <c r="EO27" s="48">
        <f t="shared" ref="EO27:EO30" si="422">IFERROR(ROUNDUP(EM27/$EX27,0)*$EY27,0)</f>
        <v>0</v>
      </c>
      <c r="EP27" s="62">
        <f t="shared" ref="EP27:ER30" si="423">BK27*$FH27</f>
        <v>396056.5</v>
      </c>
      <c r="EQ27" s="62">
        <f t="shared" si="423"/>
        <v>396056.5</v>
      </c>
      <c r="ER27" s="62">
        <f t="shared" si="423"/>
        <v>396056.5</v>
      </c>
      <c r="ES27" s="62">
        <f t="shared" ref="ES27:EU30" si="424">BN27*$FH27</f>
        <v>396056.5</v>
      </c>
      <c r="ET27" s="62">
        <f t="shared" si="424"/>
        <v>396056.5</v>
      </c>
      <c r="EU27" s="62">
        <f t="shared" si="424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25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 t="shared" si="57"/>
        <v>1</v>
      </c>
      <c r="FS27" s="104" t="b">
        <f t="shared" si="58"/>
        <v>1</v>
      </c>
      <c r="FT27" s="104" t="b">
        <f t="shared" si="59"/>
        <v>1</v>
      </c>
      <c r="FU27" s="104" t="b">
        <f t="shared" si="60"/>
        <v>0</v>
      </c>
      <c r="FV27" s="104" t="b">
        <f t="shared" si="61"/>
        <v>1</v>
      </c>
      <c r="FW27" s="104" t="b">
        <f t="shared" si="66"/>
        <v>0</v>
      </c>
      <c r="FX27" s="104" t="b">
        <f t="shared" ref="FX27:FX30" si="426">EXACT(FQ27,BI27)</f>
        <v>1</v>
      </c>
      <c r="FY27" s="104" t="s">
        <v>214</v>
      </c>
      <c r="FZ27" s="104" t="b">
        <f t="shared" ref="FZ27:FZ30" si="427">EXACT(FY27,C27)</f>
        <v>1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8">EXACT(GD27,C27)</f>
        <v>1</v>
      </c>
      <c r="GI27" s="108" t="b">
        <f t="shared" ref="GI27:GI30" si="429">EXACT(GG27,G27)</f>
        <v>0</v>
      </c>
    </row>
    <row r="28" spans="1:191" s="31" customFormat="1" ht="9.75" hidden="1" customHeight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70"/>
        <v>нет минмакс</v>
      </c>
      <c r="Q28" s="95">
        <v>5773</v>
      </c>
      <c r="R28" s="95">
        <f t="shared" si="371"/>
        <v>55478.53</v>
      </c>
      <c r="S28" s="112">
        <v>5774</v>
      </c>
      <c r="T28" s="112">
        <v>55488.14</v>
      </c>
      <c r="U28" s="112">
        <f t="shared" si="372"/>
        <v>0</v>
      </c>
      <c r="V28" s="113">
        <f t="shared" si="373"/>
        <v>5773</v>
      </c>
      <c r="W28" s="113">
        <f t="shared" si="374"/>
        <v>55478.53</v>
      </c>
      <c r="X28" s="113">
        <f t="shared" si="375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6"/>
        <v>0</v>
      </c>
      <c r="AF28" s="95">
        <f t="shared" si="377"/>
        <v>0</v>
      </c>
      <c r="AG28" s="114">
        <v>0</v>
      </c>
      <c r="AH28" s="95">
        <f t="shared" si="378"/>
        <v>5773</v>
      </c>
      <c r="AI28" s="115">
        <f t="shared" si="379"/>
        <v>55478.53</v>
      </c>
      <c r="AJ28" s="95">
        <f t="shared" si="380"/>
        <v>0</v>
      </c>
      <c r="AK28" s="95">
        <f t="shared" si="381"/>
        <v>501</v>
      </c>
      <c r="AL28" s="95">
        <f t="shared" si="382"/>
        <v>1491</v>
      </c>
      <c r="AM28" s="95">
        <f t="shared" si="383"/>
        <v>1790</v>
      </c>
      <c r="AN28" s="95">
        <f t="shared" si="384"/>
        <v>193.54189944134077</v>
      </c>
      <c r="AO28" s="95" t="str">
        <f t="shared" si="385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6"/>
        <v>0-11</v>
      </c>
      <c r="AW28" s="117">
        <f t="shared" si="387"/>
        <v>55478.53</v>
      </c>
      <c r="AX28" s="14">
        <f t="shared" si="388"/>
        <v>4</v>
      </c>
      <c r="AY28" s="25">
        <f t="shared" si="389"/>
        <v>0</v>
      </c>
      <c r="AZ28" s="109" t="s">
        <v>1013</v>
      </c>
      <c r="BA28" s="26" t="s">
        <v>196</v>
      </c>
      <c r="BB28" s="26" t="s">
        <v>299</v>
      </c>
      <c r="BC28" s="27">
        <v>45931</v>
      </c>
      <c r="BD28" s="28"/>
      <c r="BE28" s="29">
        <v>0</v>
      </c>
      <c r="BF28" s="29">
        <f t="shared" si="390"/>
        <v>0</v>
      </c>
      <c r="BG28" s="29">
        <v>0</v>
      </c>
      <c r="BH28" s="29">
        <f t="shared" si="391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92"/>
        <v>895</v>
      </c>
      <c r="BR28" s="95">
        <f t="shared" si="393"/>
        <v>5773</v>
      </c>
      <c r="BS28" s="95">
        <f t="shared" si="394"/>
        <v>5773</v>
      </c>
      <c r="BT28" s="95">
        <f t="shared" si="394"/>
        <v>4333</v>
      </c>
      <c r="BU28" s="95">
        <f t="shared" si="394"/>
        <v>4333</v>
      </c>
      <c r="BV28" s="95">
        <f t="shared" si="394"/>
        <v>4333</v>
      </c>
      <c r="BW28" s="95">
        <f t="shared" si="394"/>
        <v>3983</v>
      </c>
      <c r="BX28" s="95">
        <f t="shared" si="395"/>
        <v>3088</v>
      </c>
      <c r="BY28" s="95">
        <f t="shared" si="395"/>
        <v>2193</v>
      </c>
      <c r="BZ28" s="95">
        <f t="shared" si="395"/>
        <v>1298</v>
      </c>
      <c r="CA28" s="95">
        <f t="shared" si="395"/>
        <v>403</v>
      </c>
      <c r="CB28" s="95">
        <f t="shared" si="395"/>
        <v>-492</v>
      </c>
      <c r="CC28" s="95">
        <f t="shared" si="395"/>
        <v>-1387</v>
      </c>
      <c r="CD28" s="95">
        <f t="shared" si="395"/>
        <v>-2282</v>
      </c>
      <c r="CE28" s="95">
        <f t="shared" si="395"/>
        <v>-3177</v>
      </c>
      <c r="CF28" s="95">
        <f t="shared" si="395"/>
        <v>-4072</v>
      </c>
      <c r="CG28" s="95">
        <f t="shared" si="395"/>
        <v>-4967</v>
      </c>
      <c r="CH28" s="95">
        <f t="shared" si="395"/>
        <v>-5862</v>
      </c>
      <c r="CI28" s="95">
        <f t="shared" si="395"/>
        <v>-6757</v>
      </c>
      <c r="CJ28" s="95">
        <f t="shared" si="395"/>
        <v>-7652</v>
      </c>
      <c r="CK28" s="95">
        <f t="shared" si="395"/>
        <v>-8547</v>
      </c>
      <c r="CL28" s="95">
        <f t="shared" si="395"/>
        <v>-9442</v>
      </c>
      <c r="CM28" s="95">
        <f t="shared" si="395"/>
        <v>-10337</v>
      </c>
      <c r="CN28" s="95">
        <f t="shared" si="395"/>
        <v>-11232</v>
      </c>
      <c r="CO28" s="95">
        <f t="shared" si="395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6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7"/>
        <v>0</v>
      </c>
      <c r="DB28" s="62">
        <f t="shared" si="398"/>
        <v>0</v>
      </c>
      <c r="DC28" s="62">
        <f t="shared" si="399"/>
        <v>0</v>
      </c>
      <c r="DD28" s="102">
        <f t="shared" si="400"/>
        <v>0</v>
      </c>
      <c r="DE28" s="31">
        <v>0</v>
      </c>
      <c r="DF28" s="31">
        <v>90</v>
      </c>
      <c r="DG28" s="31">
        <v>0</v>
      </c>
      <c r="DH28" s="48">
        <f t="shared" si="401"/>
        <v>0</v>
      </c>
      <c r="DI28" s="62">
        <v>6274</v>
      </c>
      <c r="DJ28" s="62">
        <v>60262.28</v>
      </c>
      <c r="DK28" s="48">
        <f t="shared" si="402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403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404"/>
        <v>0</v>
      </c>
      <c r="DV28" s="62">
        <v>500</v>
      </c>
      <c r="DW28" s="62">
        <v>4802.5419611307425</v>
      </c>
      <c r="DX28" s="62">
        <f t="shared" si="405"/>
        <v>0</v>
      </c>
      <c r="DY28" s="62">
        <f t="shared" si="406"/>
        <v>0</v>
      </c>
      <c r="DZ28" s="48">
        <f t="shared" si="407"/>
        <v>0</v>
      </c>
      <c r="EA28" s="62">
        <f t="shared" si="408"/>
        <v>0</v>
      </c>
      <c r="EB28" s="62">
        <f t="shared" si="409"/>
        <v>0</v>
      </c>
      <c r="EC28" s="48">
        <f t="shared" si="410"/>
        <v>0</v>
      </c>
      <c r="ED28" s="62">
        <f t="shared" si="411"/>
        <v>4320</v>
      </c>
      <c r="EE28" s="62">
        <f t="shared" si="412"/>
        <v>41515.199999999997</v>
      </c>
      <c r="EF28" s="48">
        <f t="shared" si="413"/>
        <v>0</v>
      </c>
      <c r="EG28" s="62">
        <f t="shared" si="414"/>
        <v>0</v>
      </c>
      <c r="EH28" s="62">
        <f t="shared" si="415"/>
        <v>0</v>
      </c>
      <c r="EI28" s="48">
        <f t="shared" si="416"/>
        <v>0</v>
      </c>
      <c r="EJ28" s="62">
        <f t="shared" si="417"/>
        <v>0</v>
      </c>
      <c r="EK28" s="62">
        <f t="shared" si="418"/>
        <v>0</v>
      </c>
      <c r="EL28" s="48">
        <f t="shared" si="419"/>
        <v>0</v>
      </c>
      <c r="EM28" s="62">
        <f t="shared" si="420"/>
        <v>1050</v>
      </c>
      <c r="EN28" s="62">
        <f t="shared" si="421"/>
        <v>10090.5</v>
      </c>
      <c r="EO28" s="48">
        <f t="shared" si="422"/>
        <v>0</v>
      </c>
      <c r="EP28" s="62">
        <f t="shared" si="423"/>
        <v>0</v>
      </c>
      <c r="EQ28" s="62">
        <f t="shared" si="423"/>
        <v>0</v>
      </c>
      <c r="ER28" s="62">
        <f t="shared" si="423"/>
        <v>13838.4</v>
      </c>
      <c r="ES28" s="62">
        <f t="shared" si="424"/>
        <v>0</v>
      </c>
      <c r="ET28" s="62">
        <f t="shared" si="424"/>
        <v>0</v>
      </c>
      <c r="EU28" s="62">
        <f t="shared" si="424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25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 t="shared" si="57"/>
        <v>1</v>
      </c>
      <c r="FS28" s="103" t="b">
        <f t="shared" si="58"/>
        <v>1</v>
      </c>
      <c r="FT28" s="103" t="b">
        <f t="shared" si="59"/>
        <v>1</v>
      </c>
      <c r="FU28" s="103" t="b">
        <f t="shared" si="60"/>
        <v>0</v>
      </c>
      <c r="FV28" s="103" t="b">
        <f t="shared" si="61"/>
        <v>1</v>
      </c>
      <c r="FW28" s="104" t="b">
        <f t="shared" si="66"/>
        <v>0</v>
      </c>
      <c r="FX28" s="120" t="b">
        <f t="shared" si="426"/>
        <v>1</v>
      </c>
      <c r="FY28" s="104" t="s">
        <v>214</v>
      </c>
      <c r="FZ28" s="104" t="b">
        <f t="shared" si="427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8"/>
        <v>1</v>
      </c>
      <c r="GI28" s="8" t="b">
        <f t="shared" si="429"/>
        <v>0</v>
      </c>
    </row>
    <row r="29" spans="1:191" s="31" customFormat="1" hidden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70"/>
        <v>нет минмакс</v>
      </c>
      <c r="Q29" s="95">
        <v>5726</v>
      </c>
      <c r="R29" s="95">
        <f t="shared" si="371"/>
        <v>55026.859999999993</v>
      </c>
      <c r="S29" s="112">
        <v>5727</v>
      </c>
      <c r="T29" s="112">
        <v>55036.469999999994</v>
      </c>
      <c r="U29" s="112">
        <f t="shared" si="372"/>
        <v>0</v>
      </c>
      <c r="V29" s="113">
        <f t="shared" si="373"/>
        <v>5726</v>
      </c>
      <c r="W29" s="113">
        <f t="shared" si="374"/>
        <v>55026.859999999993</v>
      </c>
      <c r="X29" s="113">
        <f t="shared" si="375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6"/>
        <v>0</v>
      </c>
      <c r="AF29" s="95">
        <f t="shared" si="377"/>
        <v>0</v>
      </c>
      <c r="AG29" s="114">
        <v>0</v>
      </c>
      <c r="AH29" s="95">
        <f t="shared" si="378"/>
        <v>5726</v>
      </c>
      <c r="AI29" s="115">
        <f t="shared" si="379"/>
        <v>55026.859999999993</v>
      </c>
      <c r="AJ29" s="95">
        <f t="shared" si="380"/>
        <v>0</v>
      </c>
      <c r="AK29" s="95">
        <f t="shared" ref="AK29:AK30" si="430">SUM(CS29:CU29)</f>
        <v>468</v>
      </c>
      <c r="AL29" s="95">
        <f t="shared" si="382"/>
        <v>1427</v>
      </c>
      <c r="AM29" s="95">
        <f t="shared" si="383"/>
        <v>1790</v>
      </c>
      <c r="AN29" s="95">
        <f t="shared" si="384"/>
        <v>191.96648044692736</v>
      </c>
      <c r="AO29" s="95" t="str">
        <f t="shared" si="385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6"/>
        <v>0-11</v>
      </c>
      <c r="AW29" s="117">
        <f t="shared" si="387"/>
        <v>55026.859999999993</v>
      </c>
      <c r="AX29" s="14">
        <f t="shared" si="388"/>
        <v>4</v>
      </c>
      <c r="AY29" s="25">
        <f t="shared" si="389"/>
        <v>0</v>
      </c>
      <c r="AZ29" s="109" t="s">
        <v>1013</v>
      </c>
      <c r="BA29" s="26" t="s">
        <v>196</v>
      </c>
      <c r="BB29" s="26" t="s">
        <v>299</v>
      </c>
      <c r="BC29" s="27">
        <v>45931</v>
      </c>
      <c r="BD29" s="28"/>
      <c r="BE29" s="29">
        <v>0</v>
      </c>
      <c r="BF29" s="29">
        <f t="shared" si="390"/>
        <v>0</v>
      </c>
      <c r="BG29" s="29">
        <v>0</v>
      </c>
      <c r="BH29" s="29">
        <f t="shared" si="391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92"/>
        <v>895</v>
      </c>
      <c r="BR29" s="95">
        <f t="shared" si="393"/>
        <v>5726</v>
      </c>
      <c r="BS29" s="95">
        <f t="shared" si="394"/>
        <v>5726</v>
      </c>
      <c r="BT29" s="95">
        <f t="shared" si="394"/>
        <v>4286</v>
      </c>
      <c r="BU29" s="95">
        <f t="shared" si="394"/>
        <v>4286</v>
      </c>
      <c r="BV29" s="95">
        <f t="shared" si="394"/>
        <v>4286</v>
      </c>
      <c r="BW29" s="95">
        <f t="shared" si="394"/>
        <v>3936</v>
      </c>
      <c r="BX29" s="95">
        <f t="shared" si="395"/>
        <v>3041</v>
      </c>
      <c r="BY29" s="95">
        <f t="shared" si="395"/>
        <v>2146</v>
      </c>
      <c r="BZ29" s="95">
        <f t="shared" si="395"/>
        <v>1251</v>
      </c>
      <c r="CA29" s="95">
        <f t="shared" ref="CA29:CO29" si="431">BZ29-$BQ29</f>
        <v>356</v>
      </c>
      <c r="CB29" s="95">
        <f t="shared" si="431"/>
        <v>-539</v>
      </c>
      <c r="CC29" s="95">
        <f t="shared" si="431"/>
        <v>-1434</v>
      </c>
      <c r="CD29" s="95">
        <f t="shared" si="431"/>
        <v>-2329</v>
      </c>
      <c r="CE29" s="95">
        <f t="shared" si="431"/>
        <v>-3224</v>
      </c>
      <c r="CF29" s="95">
        <f t="shared" si="431"/>
        <v>-4119</v>
      </c>
      <c r="CG29" s="95">
        <f t="shared" si="431"/>
        <v>-5014</v>
      </c>
      <c r="CH29" s="95">
        <f t="shared" si="431"/>
        <v>-5909</v>
      </c>
      <c r="CI29" s="95">
        <f t="shared" si="431"/>
        <v>-6804</v>
      </c>
      <c r="CJ29" s="95">
        <f t="shared" si="431"/>
        <v>-7699</v>
      </c>
      <c r="CK29" s="95">
        <f t="shared" si="431"/>
        <v>-8594</v>
      </c>
      <c r="CL29" s="95">
        <f t="shared" si="431"/>
        <v>-9489</v>
      </c>
      <c r="CM29" s="95">
        <f t="shared" si="431"/>
        <v>-10384</v>
      </c>
      <c r="CN29" s="95">
        <f t="shared" si="431"/>
        <v>-11279</v>
      </c>
      <c r="CO29" s="95">
        <f t="shared" si="431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6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7"/>
        <v>0</v>
      </c>
      <c r="DB29" s="62">
        <f t="shared" si="398"/>
        <v>0</v>
      </c>
      <c r="DC29" s="62">
        <f t="shared" si="399"/>
        <v>0</v>
      </c>
      <c r="DD29" s="102">
        <f t="shared" si="400"/>
        <v>0</v>
      </c>
      <c r="DE29" s="31">
        <v>0</v>
      </c>
      <c r="DF29" s="31">
        <v>90</v>
      </c>
      <c r="DG29" s="31">
        <v>0</v>
      </c>
      <c r="DH29" s="48">
        <f t="shared" si="401"/>
        <v>0</v>
      </c>
      <c r="DI29" s="62">
        <v>6194</v>
      </c>
      <c r="DJ29" s="62">
        <v>59508.17</v>
      </c>
      <c r="DK29" s="48">
        <f t="shared" si="402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403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404"/>
        <v>0</v>
      </c>
      <c r="DV29" s="62">
        <v>467</v>
      </c>
      <c r="DW29" s="62">
        <v>4486.6509846725503</v>
      </c>
      <c r="DX29" s="62">
        <f t="shared" si="405"/>
        <v>0</v>
      </c>
      <c r="DY29" s="62">
        <f t="shared" si="406"/>
        <v>0</v>
      </c>
      <c r="DZ29" s="48">
        <f t="shared" si="407"/>
        <v>0</v>
      </c>
      <c r="EA29" s="62">
        <f t="shared" si="408"/>
        <v>0</v>
      </c>
      <c r="EB29" s="62">
        <f t="shared" si="409"/>
        <v>0</v>
      </c>
      <c r="EC29" s="48">
        <f t="shared" si="410"/>
        <v>0</v>
      </c>
      <c r="ED29" s="62">
        <f t="shared" si="411"/>
        <v>4320</v>
      </c>
      <c r="EE29" s="62">
        <f t="shared" si="412"/>
        <v>41515.199999999997</v>
      </c>
      <c r="EF29" s="48">
        <f t="shared" si="413"/>
        <v>0</v>
      </c>
      <c r="EG29" s="62">
        <f t="shared" si="414"/>
        <v>0</v>
      </c>
      <c r="EH29" s="62">
        <f t="shared" si="415"/>
        <v>0</v>
      </c>
      <c r="EI29" s="48">
        <f t="shared" si="416"/>
        <v>0</v>
      </c>
      <c r="EJ29" s="62">
        <f t="shared" si="417"/>
        <v>0</v>
      </c>
      <c r="EK29" s="62">
        <f t="shared" si="418"/>
        <v>0</v>
      </c>
      <c r="EL29" s="48">
        <f t="shared" si="419"/>
        <v>0</v>
      </c>
      <c r="EM29" s="62">
        <f t="shared" si="420"/>
        <v>1050</v>
      </c>
      <c r="EN29" s="62">
        <f t="shared" si="421"/>
        <v>10090.5</v>
      </c>
      <c r="EO29" s="48">
        <f t="shared" si="422"/>
        <v>0</v>
      </c>
      <c r="EP29" s="62">
        <f t="shared" si="423"/>
        <v>0</v>
      </c>
      <c r="EQ29" s="62">
        <f t="shared" si="423"/>
        <v>0</v>
      </c>
      <c r="ER29" s="62">
        <f t="shared" si="423"/>
        <v>13838.4</v>
      </c>
      <c r="ES29" s="62">
        <f t="shared" si="424"/>
        <v>0</v>
      </c>
      <c r="ET29" s="62">
        <f t="shared" si="424"/>
        <v>0</v>
      </c>
      <c r="EU29" s="62">
        <f t="shared" si="424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25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 t="shared" si="57"/>
        <v>1</v>
      </c>
      <c r="FS29" s="103" t="b">
        <f t="shared" si="58"/>
        <v>1</v>
      </c>
      <c r="FT29" s="103" t="b">
        <f t="shared" si="59"/>
        <v>1</v>
      </c>
      <c r="FU29" s="103" t="b">
        <f t="shared" si="60"/>
        <v>0</v>
      </c>
      <c r="FV29" s="103" t="b">
        <f t="shared" si="61"/>
        <v>1</v>
      </c>
      <c r="FW29" s="104" t="b">
        <f t="shared" si="66"/>
        <v>0</v>
      </c>
      <c r="FX29" s="120" t="b">
        <f t="shared" si="426"/>
        <v>1</v>
      </c>
      <c r="FY29" s="104" t="s">
        <v>214</v>
      </c>
      <c r="FZ29" s="104" t="b">
        <f t="shared" si="427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8"/>
        <v>1</v>
      </c>
      <c r="GI29" s="8" t="b">
        <f t="shared" si="429"/>
        <v>0</v>
      </c>
    </row>
    <row r="30" spans="1:191" s="31" customFormat="1" hidden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70"/>
        <v>нет минмакс</v>
      </c>
      <c r="Q30" s="95">
        <v>643</v>
      </c>
      <c r="R30" s="95">
        <f t="shared" si="371"/>
        <v>12390.61</v>
      </c>
      <c r="S30" s="112">
        <v>643</v>
      </c>
      <c r="T30" s="112">
        <v>12390.61</v>
      </c>
      <c r="U30" s="112">
        <f t="shared" si="372"/>
        <v>0</v>
      </c>
      <c r="V30" s="113">
        <f t="shared" si="373"/>
        <v>643</v>
      </c>
      <c r="W30" s="113">
        <f t="shared" si="374"/>
        <v>12390.61</v>
      </c>
      <c r="X30" s="113">
        <f t="shared" si="375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6"/>
        <v>0</v>
      </c>
      <c r="AF30" s="95">
        <f t="shared" si="377"/>
        <v>0</v>
      </c>
      <c r="AG30" s="114">
        <v>0</v>
      </c>
      <c r="AH30" s="95">
        <f t="shared" si="378"/>
        <v>643</v>
      </c>
      <c r="AI30" s="115">
        <f t="shared" si="379"/>
        <v>12390.61</v>
      </c>
      <c r="AJ30" s="95">
        <f t="shared" si="380"/>
        <v>0</v>
      </c>
      <c r="AK30" s="95">
        <f t="shared" si="430"/>
        <v>108</v>
      </c>
      <c r="AL30" s="95">
        <f t="shared" si="382"/>
        <v>357</v>
      </c>
      <c r="AM30" s="95">
        <f t="shared" si="383"/>
        <v>447.5</v>
      </c>
      <c r="AN30" s="95">
        <f t="shared" si="384"/>
        <v>86.212290502793294</v>
      </c>
      <c r="AO30" s="95" t="str">
        <f t="shared" si="385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6"/>
        <v>0-07</v>
      </c>
      <c r="AW30" s="117">
        <f t="shared" si="387"/>
        <v>12390.61</v>
      </c>
      <c r="AX30" s="14">
        <f t="shared" si="388"/>
        <v>4</v>
      </c>
      <c r="AY30" s="25">
        <f t="shared" si="389"/>
        <v>0</v>
      </c>
      <c r="AZ30" s="109" t="s">
        <v>1013</v>
      </c>
      <c r="BA30" s="26" t="s">
        <v>196</v>
      </c>
      <c r="BB30" s="26" t="s">
        <v>299</v>
      </c>
      <c r="BC30" s="27">
        <v>45931</v>
      </c>
      <c r="BD30" s="28"/>
      <c r="BE30" s="29">
        <v>0</v>
      </c>
      <c r="BF30" s="29">
        <f t="shared" si="390"/>
        <v>0</v>
      </c>
      <c r="BG30" s="29">
        <v>0</v>
      </c>
      <c r="BH30" s="29">
        <f t="shared" si="391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92"/>
        <v>223.75</v>
      </c>
      <c r="BR30" s="95">
        <f t="shared" si="393"/>
        <v>643</v>
      </c>
      <c r="BS30" s="95">
        <f t="shared" si="394"/>
        <v>643</v>
      </c>
      <c r="BT30" s="95">
        <f t="shared" si="394"/>
        <v>283</v>
      </c>
      <c r="BU30" s="95">
        <f t="shared" si="394"/>
        <v>283</v>
      </c>
      <c r="BV30" s="95">
        <f t="shared" si="394"/>
        <v>283</v>
      </c>
      <c r="BW30" s="95">
        <f t="shared" si="394"/>
        <v>195.5</v>
      </c>
      <c r="BX30" s="95">
        <f t="shared" ref="BX30:CO30" si="432">BW30-$BQ30</f>
        <v>-28.25</v>
      </c>
      <c r="BY30" s="95">
        <f t="shared" si="432"/>
        <v>-252</v>
      </c>
      <c r="BZ30" s="95">
        <f t="shared" si="432"/>
        <v>-475.75</v>
      </c>
      <c r="CA30" s="95">
        <f t="shared" si="432"/>
        <v>-699.5</v>
      </c>
      <c r="CB30" s="95">
        <f t="shared" si="432"/>
        <v>-923.25</v>
      </c>
      <c r="CC30" s="95">
        <f t="shared" si="432"/>
        <v>-1147</v>
      </c>
      <c r="CD30" s="95">
        <f t="shared" si="432"/>
        <v>-1370.75</v>
      </c>
      <c r="CE30" s="95">
        <f t="shared" si="432"/>
        <v>-1594.5</v>
      </c>
      <c r="CF30" s="95">
        <f t="shared" si="432"/>
        <v>-1818.25</v>
      </c>
      <c r="CG30" s="95">
        <f t="shared" si="432"/>
        <v>-2042</v>
      </c>
      <c r="CH30" s="95">
        <f t="shared" si="432"/>
        <v>-2265.75</v>
      </c>
      <c r="CI30" s="95">
        <f t="shared" si="432"/>
        <v>-2489.5</v>
      </c>
      <c r="CJ30" s="95">
        <f t="shared" si="432"/>
        <v>-2713.25</v>
      </c>
      <c r="CK30" s="95">
        <f t="shared" si="432"/>
        <v>-2937</v>
      </c>
      <c r="CL30" s="95">
        <f t="shared" si="432"/>
        <v>-3160.75</v>
      </c>
      <c r="CM30" s="95">
        <f t="shared" si="432"/>
        <v>-3384.5</v>
      </c>
      <c r="CN30" s="95">
        <f t="shared" si="432"/>
        <v>-3608.25</v>
      </c>
      <c r="CO30" s="95">
        <f t="shared" si="432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6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7"/>
        <v>0</v>
      </c>
      <c r="DB30" s="62">
        <f t="shared" si="398"/>
        <v>0</v>
      </c>
      <c r="DC30" s="62">
        <f t="shared" si="399"/>
        <v>0</v>
      </c>
      <c r="DD30" s="102">
        <f t="shared" si="400"/>
        <v>0</v>
      </c>
      <c r="DE30" s="31">
        <v>0</v>
      </c>
      <c r="DF30" s="31">
        <v>90</v>
      </c>
      <c r="DG30" s="31">
        <v>0</v>
      </c>
      <c r="DH30" s="48">
        <f t="shared" si="401"/>
        <v>0</v>
      </c>
      <c r="DI30" s="62">
        <v>751</v>
      </c>
      <c r="DJ30" s="62">
        <v>14468.77</v>
      </c>
      <c r="DK30" s="48">
        <f t="shared" si="402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403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404"/>
        <v>0</v>
      </c>
      <c r="DV30" s="62">
        <v>108</v>
      </c>
      <c r="DW30" s="62">
        <v>2080.7290799999996</v>
      </c>
      <c r="DX30" s="62">
        <f t="shared" si="405"/>
        <v>0</v>
      </c>
      <c r="DY30" s="62">
        <f t="shared" si="406"/>
        <v>0</v>
      </c>
      <c r="DZ30" s="48">
        <f t="shared" si="407"/>
        <v>0</v>
      </c>
      <c r="EA30" s="62">
        <f t="shared" si="408"/>
        <v>0</v>
      </c>
      <c r="EB30" s="62">
        <f t="shared" si="409"/>
        <v>0</v>
      </c>
      <c r="EC30" s="48">
        <f t="shared" si="410"/>
        <v>0</v>
      </c>
      <c r="ED30" s="62">
        <f t="shared" si="411"/>
        <v>1080</v>
      </c>
      <c r="EE30" s="62">
        <f t="shared" si="412"/>
        <v>20811.599999999999</v>
      </c>
      <c r="EF30" s="48">
        <f t="shared" si="413"/>
        <v>0</v>
      </c>
      <c r="EG30" s="62">
        <f t="shared" si="414"/>
        <v>0</v>
      </c>
      <c r="EH30" s="62">
        <f t="shared" si="415"/>
        <v>0</v>
      </c>
      <c r="EI30" s="48">
        <f t="shared" si="416"/>
        <v>0</v>
      </c>
      <c r="EJ30" s="62">
        <f t="shared" si="417"/>
        <v>0</v>
      </c>
      <c r="EK30" s="62">
        <f t="shared" si="418"/>
        <v>0</v>
      </c>
      <c r="EL30" s="48">
        <f t="shared" si="419"/>
        <v>0</v>
      </c>
      <c r="EM30" s="62">
        <f t="shared" si="420"/>
        <v>262.5</v>
      </c>
      <c r="EN30" s="62">
        <f t="shared" si="421"/>
        <v>5058.375</v>
      </c>
      <c r="EO30" s="48">
        <f t="shared" si="422"/>
        <v>0</v>
      </c>
      <c r="EP30" s="62">
        <f t="shared" si="423"/>
        <v>0</v>
      </c>
      <c r="EQ30" s="62">
        <f t="shared" si="423"/>
        <v>0</v>
      </c>
      <c r="ER30" s="62">
        <f t="shared" si="423"/>
        <v>6937.2</v>
      </c>
      <c r="ES30" s="62">
        <f t="shared" si="424"/>
        <v>0</v>
      </c>
      <c r="ET30" s="62">
        <f t="shared" si="424"/>
        <v>0</v>
      </c>
      <c r="EU30" s="62">
        <f t="shared" si="424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25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 t="shared" si="57"/>
        <v>1</v>
      </c>
      <c r="FS30" s="103" t="b">
        <f t="shared" si="58"/>
        <v>1</v>
      </c>
      <c r="FT30" s="103" t="b">
        <f t="shared" si="59"/>
        <v>1</v>
      </c>
      <c r="FU30" s="103" t="b">
        <f t="shared" si="60"/>
        <v>0</v>
      </c>
      <c r="FV30" s="103" t="b">
        <f t="shared" si="61"/>
        <v>1</v>
      </c>
      <c r="FW30" s="104" t="b">
        <f t="shared" si="66"/>
        <v>0</v>
      </c>
      <c r="FX30" s="120" t="b">
        <f t="shared" si="426"/>
        <v>1</v>
      </c>
      <c r="FY30" s="104" t="s">
        <v>214</v>
      </c>
      <c r="FZ30" s="104" t="b">
        <f t="shared" si="427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8"/>
        <v>1</v>
      </c>
      <c r="GI30" s="8" t="b">
        <f t="shared" si="429"/>
        <v>0</v>
      </c>
    </row>
    <row r="31" spans="1:191" s="31" customFormat="1" ht="30" hidden="1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33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34">Q31*FH31</f>
        <v>1212181</v>
      </c>
      <c r="S31" s="94">
        <v>1908</v>
      </c>
      <c r="T31" s="94">
        <v>1216788.8400000001</v>
      </c>
      <c r="U31" s="94">
        <f t="shared" ref="U31:U34" si="435">IFERROR(ROUNDUP(S31/$EX31,0)*$EY31,0)</f>
        <v>14</v>
      </c>
      <c r="V31" s="94">
        <f t="shared" ref="V31:V34" si="436">SUM(Z31:AD31)</f>
        <v>1928</v>
      </c>
      <c r="W31" s="94">
        <f t="shared" ref="W31:W34" si="437">V31*FH31</f>
        <v>1230044.72</v>
      </c>
      <c r="X31" s="94">
        <f t="shared" ref="X31:X34" si="438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9">AA31*FH31</f>
        <v>0</v>
      </c>
      <c r="AF31" s="95">
        <f t="shared" ref="AF31:AF34" si="440">AB31*FH31</f>
        <v>0</v>
      </c>
      <c r="AG31" s="96">
        <v>8</v>
      </c>
      <c r="AH31" s="95">
        <f t="shared" ref="AH31:AH34" si="441">V31-AG31</f>
        <v>1920</v>
      </c>
      <c r="AI31" s="94">
        <f t="shared" ref="AI31:AI34" si="442">IF(AH31&gt;0,AH31*FH31,0)</f>
        <v>1224940.8</v>
      </c>
      <c r="AJ31" s="94">
        <f t="shared" ref="AJ31:AJ34" si="443">CU31</f>
        <v>8</v>
      </c>
      <c r="AK31" s="94">
        <f t="shared" ref="AK31:AK34" si="444">SUM(CS31:CU31)</f>
        <v>98</v>
      </c>
      <c r="AL31" s="94">
        <f t="shared" ref="AL31:AL34" si="445">SUM(CP31:CU31)</f>
        <v>1901</v>
      </c>
      <c r="AM31" s="94">
        <f t="shared" ref="AM31:AM34" si="446">SUM(BK31:BP31)</f>
        <v>3240</v>
      </c>
      <c r="AN31" s="94">
        <f t="shared" ref="AN31:AN34" si="447">IFERROR(S31/BQ31*30,"нет оборота")</f>
        <v>106</v>
      </c>
      <c r="AO31" s="94" t="str">
        <f t="shared" ref="AO31:AO34" si="448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9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50">IF(AT31="Да",W31,0)</f>
        <v>1230044.72</v>
      </c>
      <c r="AX31" s="14">
        <f t="shared" ref="AX31:AX34" si="451">MONTH(BC31)-6</f>
        <v>3</v>
      </c>
      <c r="AY31" s="94">
        <f t="shared" ref="AY31:AY34" si="452">IF(AX31&gt;6,W31,0)</f>
        <v>0</v>
      </c>
      <c r="AZ31" s="93" t="s">
        <v>1014</v>
      </c>
      <c r="BA31" s="26" t="s">
        <v>201</v>
      </c>
      <c r="BB31" s="26" t="s">
        <v>297</v>
      </c>
      <c r="BC31" s="27">
        <v>45901</v>
      </c>
      <c r="BD31" s="28"/>
      <c r="BE31" s="29">
        <v>0</v>
      </c>
      <c r="BF31" s="29">
        <f t="shared" ref="BF31:BF34" si="453">BE31*FH31</f>
        <v>0</v>
      </c>
      <c r="BG31" s="29">
        <v>0</v>
      </c>
      <c r="BH31" s="29">
        <f t="shared" ref="BH31:BH34" si="454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55">IF(COUNTIF(BK31:BP31,"&gt;0")=0,0,SUM(BK31:BP31)/COUNTIF(BK31:BP31,"&gt;0"))</f>
        <v>540</v>
      </c>
      <c r="BR31" s="95">
        <f t="shared" ref="BR31:BR34" si="456">IF(OR(Q31=0,SUM(BK31:BP31)=0,V31&gt;Q31),V31-BK31,Q31-BK31)</f>
        <v>1388</v>
      </c>
      <c r="BS31" s="95">
        <f t="shared" ref="BS31:BW34" si="457">BR31-BL31</f>
        <v>848</v>
      </c>
      <c r="BT31" s="95">
        <f t="shared" si="457"/>
        <v>308</v>
      </c>
      <c r="BU31" s="95">
        <f t="shared" si="457"/>
        <v>-232</v>
      </c>
      <c r="BV31" s="95">
        <f t="shared" si="457"/>
        <v>-772</v>
      </c>
      <c r="BW31" s="95">
        <f t="shared" si="457"/>
        <v>-1312</v>
      </c>
      <c r="BX31" s="95">
        <f t="shared" ref="BX31:CO34" si="458">BW31-$BQ31</f>
        <v>-1852</v>
      </c>
      <c r="BY31" s="95">
        <f t="shared" si="458"/>
        <v>-2392</v>
      </c>
      <c r="BZ31" s="95">
        <f t="shared" si="458"/>
        <v>-2932</v>
      </c>
      <c r="CA31" s="95">
        <f t="shared" si="458"/>
        <v>-3472</v>
      </c>
      <c r="CB31" s="95">
        <f t="shared" si="458"/>
        <v>-4012</v>
      </c>
      <c r="CC31" s="95">
        <f t="shared" si="458"/>
        <v>-4552</v>
      </c>
      <c r="CD31" s="95">
        <f t="shared" si="458"/>
        <v>-5092</v>
      </c>
      <c r="CE31" s="95">
        <f t="shared" si="458"/>
        <v>-5632</v>
      </c>
      <c r="CF31" s="95">
        <f t="shared" si="458"/>
        <v>-6172</v>
      </c>
      <c r="CG31" s="95">
        <f t="shared" si="458"/>
        <v>-6712</v>
      </c>
      <c r="CH31" s="95">
        <f t="shared" si="458"/>
        <v>-7252</v>
      </c>
      <c r="CI31" s="95">
        <f t="shared" si="458"/>
        <v>-7792</v>
      </c>
      <c r="CJ31" s="95">
        <f t="shared" si="458"/>
        <v>-8332</v>
      </c>
      <c r="CK31" s="95">
        <f t="shared" si="458"/>
        <v>-8872</v>
      </c>
      <c r="CL31" s="95">
        <f t="shared" si="458"/>
        <v>-9412</v>
      </c>
      <c r="CM31" s="95">
        <f t="shared" si="458"/>
        <v>-9952</v>
      </c>
      <c r="CN31" s="95">
        <f t="shared" si="458"/>
        <v>-10492</v>
      </c>
      <c r="CO31" s="95">
        <f t="shared" si="458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9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60">IFERROR(CZ31/CY31,0)</f>
        <v>1.2000000000000002E-2</v>
      </c>
      <c r="DB31" s="62">
        <f t="shared" ref="DB31:DB34" si="461">CY31*FH31</f>
        <v>1913970</v>
      </c>
      <c r="DC31" s="62">
        <f t="shared" ref="DC31:DC34" si="462">CZ31*FH31</f>
        <v>22967.640000000003</v>
      </c>
      <c r="DD31" s="102">
        <f t="shared" ref="DD31:DD34" si="463">IFERROR(DC31/DB31,0)</f>
        <v>1.2000000000000002E-2</v>
      </c>
      <c r="DE31" s="31">
        <v>0</v>
      </c>
      <c r="DG31" s="31">
        <v>0</v>
      </c>
      <c r="DH31" s="48">
        <f t="shared" ref="DH31:DH34" si="464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65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6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7">IFERROR(ROUNDUP(DS31/$EX31,0)*$EY31,0)</f>
        <v>14</v>
      </c>
      <c r="DV31" s="62">
        <v>36</v>
      </c>
      <c r="DW31" s="62">
        <v>23991.69446428572</v>
      </c>
      <c r="DX31" s="62">
        <f t="shared" ref="DX31:DX34" si="468">$DF31*BK31/30</f>
        <v>0</v>
      </c>
      <c r="DY31" s="62">
        <f t="shared" ref="DY31:DY34" si="469">DX31*$FH31</f>
        <v>0</v>
      </c>
      <c r="DZ31" s="48">
        <f t="shared" ref="DZ31:DZ34" si="470">IFERROR(ROUNDUP(DX31/$EX31,0)*$EY31,0)</f>
        <v>0</v>
      </c>
      <c r="EA31" s="62">
        <f t="shared" ref="EA31:EA34" si="471">$DF31*BL31/30</f>
        <v>0</v>
      </c>
      <c r="EB31" s="62">
        <f t="shared" ref="EB31:EB34" si="472">EA31*$FH31</f>
        <v>0</v>
      </c>
      <c r="EC31" s="48">
        <f t="shared" ref="EC31:EC34" si="473">IFERROR(ROUNDUP(EA31/$EX31,0)*$EY31,0)</f>
        <v>0</v>
      </c>
      <c r="ED31" s="62">
        <f t="shared" ref="ED31:ED34" si="474">$DF31*BM31/30</f>
        <v>0</v>
      </c>
      <c r="EE31" s="62">
        <f t="shared" ref="EE31:EE34" si="475">ED31*$FH31</f>
        <v>0</v>
      </c>
      <c r="EF31" s="48">
        <f t="shared" ref="EF31:EF34" si="476">IFERROR(ROUNDUP(ED31/$EX31,0)*$EY31,0)</f>
        <v>0</v>
      </c>
      <c r="EG31" s="62">
        <f t="shared" ref="EG31:EG34" si="477">$DF31*BN31/30</f>
        <v>0</v>
      </c>
      <c r="EH31" s="62">
        <f t="shared" ref="EH31:EH34" si="478">EG31*$FH31</f>
        <v>0</v>
      </c>
      <c r="EI31" s="48">
        <f t="shared" ref="EI31:EI34" si="479">IFERROR(ROUNDUP(EG31/$EX31,0)*$EY31,0)</f>
        <v>0</v>
      </c>
      <c r="EJ31" s="62">
        <f t="shared" ref="EJ31:EJ34" si="480">$DF31*BO31/30</f>
        <v>0</v>
      </c>
      <c r="EK31" s="62">
        <f t="shared" ref="EK31:EK34" si="481">EJ31*$FH31</f>
        <v>0</v>
      </c>
      <c r="EL31" s="48">
        <f t="shared" ref="EL31:EL34" si="482">IFERROR(ROUNDUP(EJ31/$EX31,0)*$EY31,0)</f>
        <v>0</v>
      </c>
      <c r="EM31" s="62">
        <f t="shared" ref="EM31:EM34" si="483">$DF31*BP31/30</f>
        <v>0</v>
      </c>
      <c r="EN31" s="62">
        <f t="shared" ref="EN31:EN34" si="484">EM31*$FH31</f>
        <v>0</v>
      </c>
      <c r="EO31" s="48">
        <f t="shared" ref="EO31:EO34" si="485">IFERROR(ROUNDUP(EM31/$EX31,0)*$EY31,0)</f>
        <v>0</v>
      </c>
      <c r="EP31" s="62">
        <f t="shared" ref="EP31:ER34" si="486">BK31*$FH31</f>
        <v>344514.6</v>
      </c>
      <c r="EQ31" s="62">
        <f t="shared" si="486"/>
        <v>344514.6</v>
      </c>
      <c r="ER31" s="62">
        <f t="shared" si="486"/>
        <v>344514.6</v>
      </c>
      <c r="ES31" s="62">
        <f t="shared" ref="ES31:EU34" si="487">BN31*$FH31</f>
        <v>344514.6</v>
      </c>
      <c r="ET31" s="62">
        <f t="shared" si="487"/>
        <v>344514.6</v>
      </c>
      <c r="EU31" s="62">
        <f t="shared" si="487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8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 t="shared" si="57"/>
        <v>1</v>
      </c>
      <c r="FS31" s="104" t="b">
        <f t="shared" si="58"/>
        <v>1</v>
      </c>
      <c r="FT31" s="104" t="b">
        <f t="shared" si="59"/>
        <v>1</v>
      </c>
      <c r="FU31" s="104" t="b">
        <f t="shared" si="60"/>
        <v>0</v>
      </c>
      <c r="FV31" s="104" t="b">
        <f t="shared" si="61"/>
        <v>1</v>
      </c>
      <c r="FW31" s="104" t="b">
        <f t="shared" si="66"/>
        <v>0</v>
      </c>
      <c r="FX31" s="104" t="b">
        <f t="shared" ref="FX31:FX34" si="489">EXACT(FQ31,BI31)</f>
        <v>1</v>
      </c>
      <c r="FY31" s="104" t="s">
        <v>214</v>
      </c>
      <c r="FZ31" s="104" t="b">
        <f t="shared" ref="FZ31:FZ34" si="490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91">EXACT(GD31,C31)</f>
        <v>1</v>
      </c>
      <c r="GI31" s="108" t="b">
        <f t="shared" ref="GI31:GI34" si="492">EXACT(GG31,G31)</f>
        <v>0</v>
      </c>
    </row>
    <row r="32" spans="1:191" s="31" customFormat="1" hidden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33"/>
        <v>нет минмакс</v>
      </c>
      <c r="Q32" s="95">
        <v>7782</v>
      </c>
      <c r="R32" s="95">
        <f t="shared" si="434"/>
        <v>73228.62</v>
      </c>
      <c r="S32" s="112">
        <v>7783</v>
      </c>
      <c r="T32" s="112">
        <v>73238.03</v>
      </c>
      <c r="U32" s="112">
        <f t="shared" si="435"/>
        <v>0</v>
      </c>
      <c r="V32" s="113">
        <f t="shared" si="436"/>
        <v>7782</v>
      </c>
      <c r="W32" s="113">
        <f t="shared" si="437"/>
        <v>73228.62</v>
      </c>
      <c r="X32" s="113">
        <f t="shared" si="438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9"/>
        <v>0</v>
      </c>
      <c r="AF32" s="95">
        <f t="shared" si="440"/>
        <v>0</v>
      </c>
      <c r="AG32" s="114">
        <v>0</v>
      </c>
      <c r="AH32" s="95">
        <f t="shared" si="441"/>
        <v>7782</v>
      </c>
      <c r="AI32" s="115">
        <f t="shared" si="442"/>
        <v>73228.62</v>
      </c>
      <c r="AJ32" s="95">
        <f t="shared" si="443"/>
        <v>0</v>
      </c>
      <c r="AK32" s="95">
        <f t="shared" si="444"/>
        <v>1</v>
      </c>
      <c r="AL32" s="95">
        <f t="shared" si="445"/>
        <v>2023</v>
      </c>
      <c r="AM32" s="95">
        <f t="shared" si="446"/>
        <v>2040</v>
      </c>
      <c r="AN32" s="95">
        <f t="shared" si="447"/>
        <v>228.91176470588238</v>
      </c>
      <c r="AO32" s="95" t="str">
        <f t="shared" si="448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9"/>
        <v>0-12</v>
      </c>
      <c r="AW32" s="117">
        <f t="shared" si="450"/>
        <v>73228.62</v>
      </c>
      <c r="AX32" s="14">
        <f t="shared" si="451"/>
        <v>4</v>
      </c>
      <c r="AY32" s="25">
        <f t="shared" si="452"/>
        <v>0</v>
      </c>
      <c r="AZ32" s="109" t="s">
        <v>1014</v>
      </c>
      <c r="BA32" s="26" t="s">
        <v>196</v>
      </c>
      <c r="BB32" s="26" t="s">
        <v>299</v>
      </c>
      <c r="BC32" s="27">
        <v>45931</v>
      </c>
      <c r="BD32" s="28"/>
      <c r="BE32" s="29">
        <v>0</v>
      </c>
      <c r="BF32" s="29">
        <f t="shared" si="453"/>
        <v>0</v>
      </c>
      <c r="BG32" s="29">
        <v>0</v>
      </c>
      <c r="BH32" s="29">
        <f t="shared" si="454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55"/>
        <v>1020</v>
      </c>
      <c r="BR32" s="95">
        <f t="shared" si="456"/>
        <v>7782</v>
      </c>
      <c r="BS32" s="95">
        <f t="shared" si="457"/>
        <v>7782</v>
      </c>
      <c r="BT32" s="95">
        <f t="shared" si="457"/>
        <v>7782</v>
      </c>
      <c r="BU32" s="95">
        <f t="shared" si="457"/>
        <v>6282</v>
      </c>
      <c r="BV32" s="95">
        <f t="shared" si="457"/>
        <v>6282</v>
      </c>
      <c r="BW32" s="95">
        <f t="shared" si="457"/>
        <v>5742</v>
      </c>
      <c r="BX32" s="95">
        <f t="shared" si="458"/>
        <v>4722</v>
      </c>
      <c r="BY32" s="95">
        <f t="shared" si="458"/>
        <v>3702</v>
      </c>
      <c r="BZ32" s="95">
        <f t="shared" si="458"/>
        <v>2682</v>
      </c>
      <c r="CA32" s="95">
        <f t="shared" si="458"/>
        <v>1662</v>
      </c>
      <c r="CB32" s="95">
        <f t="shared" si="458"/>
        <v>642</v>
      </c>
      <c r="CC32" s="95">
        <f t="shared" si="458"/>
        <v>-378</v>
      </c>
      <c r="CD32" s="95">
        <f t="shared" si="458"/>
        <v>-1398</v>
      </c>
      <c r="CE32" s="95">
        <f t="shared" si="458"/>
        <v>-2418</v>
      </c>
      <c r="CF32" s="95">
        <f t="shared" si="458"/>
        <v>-3438</v>
      </c>
      <c r="CG32" s="95">
        <f t="shared" si="458"/>
        <v>-4458</v>
      </c>
      <c r="CH32" s="95">
        <f t="shared" si="458"/>
        <v>-5478</v>
      </c>
      <c r="CI32" s="95">
        <f t="shared" si="458"/>
        <v>-6498</v>
      </c>
      <c r="CJ32" s="95">
        <f t="shared" si="458"/>
        <v>-7518</v>
      </c>
      <c r="CK32" s="95">
        <f t="shared" si="458"/>
        <v>-8538</v>
      </c>
      <c r="CL32" s="95">
        <f t="shared" si="458"/>
        <v>-9558</v>
      </c>
      <c r="CM32" s="95">
        <f t="shared" si="458"/>
        <v>-10578</v>
      </c>
      <c r="CN32" s="95">
        <f t="shared" si="458"/>
        <v>-11598</v>
      </c>
      <c r="CO32" s="95">
        <f t="shared" si="458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9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60"/>
        <v>0</v>
      </c>
      <c r="DB32" s="62">
        <f t="shared" si="461"/>
        <v>0</v>
      </c>
      <c r="DC32" s="62">
        <f t="shared" si="462"/>
        <v>0</v>
      </c>
      <c r="DD32" s="102">
        <f t="shared" si="463"/>
        <v>0</v>
      </c>
      <c r="DE32" s="31">
        <v>0</v>
      </c>
      <c r="DF32" s="31">
        <v>90</v>
      </c>
      <c r="DG32" s="31">
        <v>0</v>
      </c>
      <c r="DH32" s="48">
        <f t="shared" si="464"/>
        <v>0</v>
      </c>
      <c r="DI32" s="62">
        <v>9549.0640000000003</v>
      </c>
      <c r="DJ32" s="62">
        <v>89903.122000000003</v>
      </c>
      <c r="DK32" s="48">
        <f t="shared" si="465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6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7"/>
        <v>0</v>
      </c>
      <c r="DV32" s="62">
        <v>0</v>
      </c>
      <c r="DW32" s="62">
        <v>0</v>
      </c>
      <c r="DX32" s="62">
        <f t="shared" si="468"/>
        <v>0</v>
      </c>
      <c r="DY32" s="62">
        <f t="shared" si="469"/>
        <v>0</v>
      </c>
      <c r="DZ32" s="48">
        <f t="shared" si="470"/>
        <v>0</v>
      </c>
      <c r="EA32" s="62">
        <f t="shared" si="471"/>
        <v>0</v>
      </c>
      <c r="EB32" s="62">
        <f t="shared" si="472"/>
        <v>0</v>
      </c>
      <c r="EC32" s="48">
        <f t="shared" si="473"/>
        <v>0</v>
      </c>
      <c r="ED32" s="62">
        <f t="shared" si="474"/>
        <v>0</v>
      </c>
      <c r="EE32" s="62">
        <f t="shared" si="475"/>
        <v>0</v>
      </c>
      <c r="EF32" s="48">
        <f t="shared" si="476"/>
        <v>0</v>
      </c>
      <c r="EG32" s="62">
        <f t="shared" si="477"/>
        <v>4500</v>
      </c>
      <c r="EH32" s="62">
        <f t="shared" si="478"/>
        <v>42345</v>
      </c>
      <c r="EI32" s="48">
        <f t="shared" si="479"/>
        <v>0</v>
      </c>
      <c r="EJ32" s="62">
        <f t="shared" si="480"/>
        <v>0</v>
      </c>
      <c r="EK32" s="62">
        <f t="shared" si="481"/>
        <v>0</v>
      </c>
      <c r="EL32" s="48">
        <f t="shared" si="482"/>
        <v>0</v>
      </c>
      <c r="EM32" s="62">
        <f t="shared" si="483"/>
        <v>1620</v>
      </c>
      <c r="EN32" s="62">
        <f t="shared" si="484"/>
        <v>15244.2</v>
      </c>
      <c r="EO32" s="48">
        <f t="shared" si="485"/>
        <v>0</v>
      </c>
      <c r="EP32" s="62">
        <f t="shared" si="486"/>
        <v>0</v>
      </c>
      <c r="EQ32" s="62">
        <f t="shared" si="486"/>
        <v>0</v>
      </c>
      <c r="ER32" s="62">
        <f t="shared" si="486"/>
        <v>0</v>
      </c>
      <c r="ES32" s="62">
        <f t="shared" si="487"/>
        <v>14115</v>
      </c>
      <c r="ET32" s="62">
        <f t="shared" si="487"/>
        <v>0</v>
      </c>
      <c r="EU32" s="62">
        <f t="shared" si="487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8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 t="shared" si="57"/>
        <v>1</v>
      </c>
      <c r="FS32" s="103" t="b">
        <f t="shared" si="58"/>
        <v>1</v>
      </c>
      <c r="FT32" s="103" t="b">
        <f t="shared" si="59"/>
        <v>1</v>
      </c>
      <c r="FU32" s="103" t="b">
        <f t="shared" si="60"/>
        <v>0</v>
      </c>
      <c r="FV32" s="103" t="b">
        <f t="shared" si="61"/>
        <v>1</v>
      </c>
      <c r="FW32" s="104" t="b">
        <f t="shared" si="66"/>
        <v>0</v>
      </c>
      <c r="FX32" s="120" t="b">
        <f t="shared" si="489"/>
        <v>1</v>
      </c>
      <c r="FY32" s="104" t="s">
        <v>214</v>
      </c>
      <c r="FZ32" s="104" t="b">
        <f t="shared" si="490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91"/>
        <v>1</v>
      </c>
      <c r="GI32" s="8" t="b">
        <f t="shared" si="492"/>
        <v>0</v>
      </c>
    </row>
    <row r="33" spans="1:191" s="31" customFormat="1" hidden="1" x14ac:dyDescent="0.25">
      <c r="A33" s="109">
        <v>168022</v>
      </c>
      <c r="B33" s="109">
        <v>103054</v>
      </c>
      <c r="C33" s="110" t="s">
        <v>214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33"/>
        <v>нет минмакс</v>
      </c>
      <c r="Q33" s="95">
        <v>7604</v>
      </c>
      <c r="R33" s="95">
        <f t="shared" si="434"/>
        <v>71629.679999999993</v>
      </c>
      <c r="S33" s="112">
        <v>7605</v>
      </c>
      <c r="T33" s="112">
        <v>71639.100000000006</v>
      </c>
      <c r="U33" s="112">
        <f t="shared" si="435"/>
        <v>0</v>
      </c>
      <c r="V33" s="113">
        <f t="shared" si="436"/>
        <v>7604</v>
      </c>
      <c r="W33" s="113">
        <f t="shared" si="437"/>
        <v>71629.679999999993</v>
      </c>
      <c r="X33" s="113">
        <f t="shared" si="438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9"/>
        <v>0</v>
      </c>
      <c r="AF33" s="95">
        <f t="shared" si="440"/>
        <v>0</v>
      </c>
      <c r="AG33" s="114">
        <v>0</v>
      </c>
      <c r="AH33" s="95">
        <f t="shared" si="441"/>
        <v>7604</v>
      </c>
      <c r="AI33" s="115">
        <f t="shared" si="442"/>
        <v>71629.679999999993</v>
      </c>
      <c r="AJ33" s="95">
        <f t="shared" si="443"/>
        <v>0</v>
      </c>
      <c r="AK33" s="95">
        <f t="shared" si="444"/>
        <v>1</v>
      </c>
      <c r="AL33" s="95">
        <f t="shared" si="445"/>
        <v>2026</v>
      </c>
      <c r="AM33" s="95">
        <f t="shared" si="446"/>
        <v>2040</v>
      </c>
      <c r="AN33" s="95">
        <f t="shared" si="447"/>
        <v>223.6764705882353</v>
      </c>
      <c r="AO33" s="95" t="str">
        <f t="shared" si="448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9"/>
        <v>0-12</v>
      </c>
      <c r="AW33" s="117">
        <f t="shared" si="450"/>
        <v>71629.679999999993</v>
      </c>
      <c r="AX33" s="14">
        <f t="shared" si="451"/>
        <v>4</v>
      </c>
      <c r="AY33" s="25">
        <f t="shared" si="452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53"/>
        <v>0</v>
      </c>
      <c r="BG33" s="29">
        <v>0</v>
      </c>
      <c r="BH33" s="29">
        <f t="shared" si="454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55"/>
        <v>1020</v>
      </c>
      <c r="BR33" s="95">
        <f t="shared" si="456"/>
        <v>7604</v>
      </c>
      <c r="BS33" s="95">
        <f t="shared" si="457"/>
        <v>7604</v>
      </c>
      <c r="BT33" s="95">
        <f t="shared" si="457"/>
        <v>7604</v>
      </c>
      <c r="BU33" s="95">
        <f t="shared" si="457"/>
        <v>6104</v>
      </c>
      <c r="BV33" s="95">
        <f t="shared" si="457"/>
        <v>6104</v>
      </c>
      <c r="BW33" s="95">
        <f t="shared" si="457"/>
        <v>5564</v>
      </c>
      <c r="BX33" s="95">
        <f t="shared" si="458"/>
        <v>4544</v>
      </c>
      <c r="BY33" s="95">
        <f t="shared" si="458"/>
        <v>3524</v>
      </c>
      <c r="BZ33" s="95">
        <f t="shared" si="458"/>
        <v>2504</v>
      </c>
      <c r="CA33" s="95">
        <f t="shared" si="458"/>
        <v>1484</v>
      </c>
      <c r="CB33" s="95">
        <f t="shared" si="458"/>
        <v>464</v>
      </c>
      <c r="CC33" s="95">
        <f t="shared" si="458"/>
        <v>-556</v>
      </c>
      <c r="CD33" s="95">
        <f t="shared" si="458"/>
        <v>-1576</v>
      </c>
      <c r="CE33" s="95">
        <f t="shared" si="458"/>
        <v>-2596</v>
      </c>
      <c r="CF33" s="95">
        <f t="shared" si="458"/>
        <v>-3616</v>
      </c>
      <c r="CG33" s="95">
        <f t="shared" si="458"/>
        <v>-4636</v>
      </c>
      <c r="CH33" s="95">
        <f t="shared" si="458"/>
        <v>-5656</v>
      </c>
      <c r="CI33" s="95">
        <f t="shared" si="458"/>
        <v>-6676</v>
      </c>
      <c r="CJ33" s="95">
        <f t="shared" si="458"/>
        <v>-7696</v>
      </c>
      <c r="CK33" s="95">
        <f t="shared" si="458"/>
        <v>-8716</v>
      </c>
      <c r="CL33" s="95">
        <f t="shared" si="458"/>
        <v>-9736</v>
      </c>
      <c r="CM33" s="95">
        <f t="shared" si="458"/>
        <v>-10756</v>
      </c>
      <c r="CN33" s="95">
        <f t="shared" si="458"/>
        <v>-11776</v>
      </c>
      <c r="CO33" s="95">
        <f t="shared" si="458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9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60"/>
        <v>0</v>
      </c>
      <c r="DB33" s="62">
        <f t="shared" si="461"/>
        <v>0</v>
      </c>
      <c r="DC33" s="62">
        <f t="shared" si="462"/>
        <v>0</v>
      </c>
      <c r="DD33" s="102">
        <f t="shared" si="463"/>
        <v>0</v>
      </c>
      <c r="DE33" s="31">
        <v>0</v>
      </c>
      <c r="DF33" s="31">
        <v>90</v>
      </c>
      <c r="DG33" s="31">
        <v>0</v>
      </c>
      <c r="DH33" s="48">
        <f t="shared" si="464"/>
        <v>0</v>
      </c>
      <c r="DI33" s="62">
        <v>9399.8379999999997</v>
      </c>
      <c r="DJ33" s="62">
        <v>88555.962</v>
      </c>
      <c r="DK33" s="48">
        <f t="shared" si="465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6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7"/>
        <v>0</v>
      </c>
      <c r="DV33" s="62">
        <v>0</v>
      </c>
      <c r="DW33" s="62">
        <v>0</v>
      </c>
      <c r="DX33" s="62">
        <f t="shared" si="468"/>
        <v>0</v>
      </c>
      <c r="DY33" s="62">
        <f t="shared" si="469"/>
        <v>0</v>
      </c>
      <c r="DZ33" s="48">
        <f t="shared" si="470"/>
        <v>0</v>
      </c>
      <c r="EA33" s="62">
        <f t="shared" si="471"/>
        <v>0</v>
      </c>
      <c r="EB33" s="62">
        <f t="shared" si="472"/>
        <v>0</v>
      </c>
      <c r="EC33" s="48">
        <f t="shared" si="473"/>
        <v>0</v>
      </c>
      <c r="ED33" s="62">
        <f t="shared" si="474"/>
        <v>0</v>
      </c>
      <c r="EE33" s="62">
        <f t="shared" si="475"/>
        <v>0</v>
      </c>
      <c r="EF33" s="48">
        <f t="shared" si="476"/>
        <v>0</v>
      </c>
      <c r="EG33" s="62">
        <f t="shared" si="477"/>
        <v>4500</v>
      </c>
      <c r="EH33" s="62">
        <f t="shared" si="478"/>
        <v>42390</v>
      </c>
      <c r="EI33" s="48">
        <f t="shared" si="479"/>
        <v>0</v>
      </c>
      <c r="EJ33" s="62">
        <f t="shared" si="480"/>
        <v>0</v>
      </c>
      <c r="EK33" s="62">
        <f t="shared" si="481"/>
        <v>0</v>
      </c>
      <c r="EL33" s="48">
        <f t="shared" si="482"/>
        <v>0</v>
      </c>
      <c r="EM33" s="62">
        <f t="shared" si="483"/>
        <v>1620</v>
      </c>
      <c r="EN33" s="62">
        <f t="shared" si="484"/>
        <v>15260.4</v>
      </c>
      <c r="EO33" s="48">
        <f t="shared" si="485"/>
        <v>0</v>
      </c>
      <c r="EP33" s="62">
        <f t="shared" si="486"/>
        <v>0</v>
      </c>
      <c r="EQ33" s="62">
        <f t="shared" si="486"/>
        <v>0</v>
      </c>
      <c r="ER33" s="62">
        <f t="shared" si="486"/>
        <v>0</v>
      </c>
      <c r="ES33" s="62">
        <f t="shared" si="487"/>
        <v>14130</v>
      </c>
      <c r="ET33" s="62">
        <f t="shared" si="487"/>
        <v>0</v>
      </c>
      <c r="EU33" s="62">
        <f t="shared" si="487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8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 t="shared" si="57"/>
        <v>1</v>
      </c>
      <c r="FS33" s="103" t="b">
        <f t="shared" si="58"/>
        <v>1</v>
      </c>
      <c r="FT33" s="103" t="b">
        <f t="shared" si="59"/>
        <v>1</v>
      </c>
      <c r="FU33" s="103" t="b">
        <f t="shared" si="60"/>
        <v>0</v>
      </c>
      <c r="FV33" s="103" t="b">
        <f t="shared" si="61"/>
        <v>1</v>
      </c>
      <c r="FW33" s="104" t="b">
        <f t="shared" si="66"/>
        <v>0</v>
      </c>
      <c r="FX33" s="120" t="b">
        <f t="shared" si="489"/>
        <v>1</v>
      </c>
      <c r="FY33" s="104" t="s">
        <v>214</v>
      </c>
      <c r="FZ33" s="104" t="b">
        <f t="shared" si="490"/>
        <v>1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91"/>
        <v>1</v>
      </c>
      <c r="GI33" s="8" t="b">
        <f t="shared" si="492"/>
        <v>0</v>
      </c>
    </row>
    <row r="34" spans="1:191" s="31" customFormat="1" hidden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33"/>
        <v>нет минмакс</v>
      </c>
      <c r="Q34" s="95">
        <v>1497</v>
      </c>
      <c r="R34" s="95">
        <f t="shared" si="434"/>
        <v>20763.39</v>
      </c>
      <c r="S34" s="112">
        <v>1497</v>
      </c>
      <c r="T34" s="112">
        <v>20763.39</v>
      </c>
      <c r="U34" s="112">
        <f t="shared" si="435"/>
        <v>0</v>
      </c>
      <c r="V34" s="113">
        <f t="shared" si="436"/>
        <v>1497</v>
      </c>
      <c r="W34" s="113">
        <f t="shared" si="437"/>
        <v>20763.39</v>
      </c>
      <c r="X34" s="113">
        <f t="shared" si="438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9"/>
        <v>0</v>
      </c>
      <c r="AF34" s="95">
        <f t="shared" si="440"/>
        <v>0</v>
      </c>
      <c r="AG34" s="114">
        <v>0</v>
      </c>
      <c r="AH34" s="95">
        <f t="shared" si="441"/>
        <v>1497</v>
      </c>
      <c r="AI34" s="115">
        <f t="shared" si="442"/>
        <v>20763.39</v>
      </c>
      <c r="AJ34" s="95">
        <f t="shared" si="443"/>
        <v>0</v>
      </c>
      <c r="AK34" s="95">
        <f t="shared" si="444"/>
        <v>0</v>
      </c>
      <c r="AL34" s="95">
        <f t="shared" si="445"/>
        <v>542</v>
      </c>
      <c r="AM34" s="95">
        <f t="shared" si="446"/>
        <v>510</v>
      </c>
      <c r="AN34" s="95">
        <f t="shared" si="447"/>
        <v>176.11764705882351</v>
      </c>
      <c r="AO34" s="95" t="str">
        <f t="shared" si="448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9"/>
        <v>0-10</v>
      </c>
      <c r="AW34" s="117">
        <f t="shared" si="450"/>
        <v>20763.39</v>
      </c>
      <c r="AX34" s="14">
        <f t="shared" si="451"/>
        <v>4</v>
      </c>
      <c r="AY34" s="25">
        <f t="shared" si="452"/>
        <v>0</v>
      </c>
      <c r="AZ34" s="109" t="s">
        <v>1014</v>
      </c>
      <c r="BA34" s="26" t="s">
        <v>196</v>
      </c>
      <c r="BB34" s="26" t="s">
        <v>299</v>
      </c>
      <c r="BC34" s="27">
        <v>45931</v>
      </c>
      <c r="BD34" s="28"/>
      <c r="BE34" s="29">
        <v>0</v>
      </c>
      <c r="BF34" s="29">
        <f t="shared" si="453"/>
        <v>0</v>
      </c>
      <c r="BG34" s="29">
        <v>0</v>
      </c>
      <c r="BH34" s="29">
        <f t="shared" si="454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55"/>
        <v>255</v>
      </c>
      <c r="BR34" s="95">
        <f t="shared" si="456"/>
        <v>1497</v>
      </c>
      <c r="BS34" s="95">
        <f t="shared" si="457"/>
        <v>1497</v>
      </c>
      <c r="BT34" s="95">
        <f t="shared" si="457"/>
        <v>1497</v>
      </c>
      <c r="BU34" s="95">
        <f t="shared" si="457"/>
        <v>1122</v>
      </c>
      <c r="BV34" s="95">
        <f t="shared" si="457"/>
        <v>1122</v>
      </c>
      <c r="BW34" s="95">
        <f t="shared" si="457"/>
        <v>987</v>
      </c>
      <c r="BX34" s="95">
        <f t="shared" si="458"/>
        <v>732</v>
      </c>
      <c r="BY34" s="95">
        <f t="shared" si="458"/>
        <v>477</v>
      </c>
      <c r="BZ34" s="95">
        <f t="shared" si="458"/>
        <v>222</v>
      </c>
      <c r="CA34" s="95">
        <f t="shared" si="458"/>
        <v>-33</v>
      </c>
      <c r="CB34" s="95">
        <f t="shared" si="458"/>
        <v>-288</v>
      </c>
      <c r="CC34" s="95">
        <f t="shared" si="458"/>
        <v>-543</v>
      </c>
      <c r="CD34" s="95">
        <f t="shared" si="458"/>
        <v>-798</v>
      </c>
      <c r="CE34" s="95">
        <f t="shared" si="458"/>
        <v>-1053</v>
      </c>
      <c r="CF34" s="95">
        <f t="shared" si="458"/>
        <v>-1308</v>
      </c>
      <c r="CG34" s="95">
        <f t="shared" si="458"/>
        <v>-1563</v>
      </c>
      <c r="CH34" s="95">
        <f t="shared" si="458"/>
        <v>-1818</v>
      </c>
      <c r="CI34" s="95">
        <f t="shared" si="458"/>
        <v>-2073</v>
      </c>
      <c r="CJ34" s="95">
        <f t="shared" si="458"/>
        <v>-2328</v>
      </c>
      <c r="CK34" s="95">
        <f t="shared" si="458"/>
        <v>-2583</v>
      </c>
      <c r="CL34" s="95">
        <f t="shared" si="458"/>
        <v>-2838</v>
      </c>
      <c r="CM34" s="95">
        <f t="shared" si="458"/>
        <v>-3093</v>
      </c>
      <c r="CN34" s="95">
        <f t="shared" si="458"/>
        <v>-3348</v>
      </c>
      <c r="CO34" s="95">
        <f t="shared" si="458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9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60"/>
        <v>0</v>
      </c>
      <c r="DB34" s="62">
        <f t="shared" si="461"/>
        <v>0</v>
      </c>
      <c r="DC34" s="62">
        <f t="shared" si="462"/>
        <v>0</v>
      </c>
      <c r="DD34" s="102">
        <f t="shared" si="463"/>
        <v>0</v>
      </c>
      <c r="DE34" s="31">
        <v>0</v>
      </c>
      <c r="DF34" s="31">
        <v>90</v>
      </c>
      <c r="DG34" s="31">
        <v>0</v>
      </c>
      <c r="DH34" s="48">
        <f t="shared" si="464"/>
        <v>0</v>
      </c>
      <c r="DI34" s="62">
        <v>1947</v>
      </c>
      <c r="DJ34" s="62">
        <v>26996.579999999998</v>
      </c>
      <c r="DK34" s="48">
        <f t="shared" si="465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6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7"/>
        <v>0</v>
      </c>
      <c r="DV34" s="62">
        <v>0</v>
      </c>
      <c r="DW34" s="62">
        <v>0</v>
      </c>
      <c r="DX34" s="62">
        <f t="shared" si="468"/>
        <v>0</v>
      </c>
      <c r="DY34" s="62">
        <f t="shared" si="469"/>
        <v>0</v>
      </c>
      <c r="DZ34" s="48">
        <f t="shared" si="470"/>
        <v>0</v>
      </c>
      <c r="EA34" s="62">
        <f t="shared" si="471"/>
        <v>0</v>
      </c>
      <c r="EB34" s="62">
        <f t="shared" si="472"/>
        <v>0</v>
      </c>
      <c r="EC34" s="48">
        <f t="shared" si="473"/>
        <v>0</v>
      </c>
      <c r="ED34" s="62">
        <f t="shared" si="474"/>
        <v>0</v>
      </c>
      <c r="EE34" s="62">
        <f t="shared" si="475"/>
        <v>0</v>
      </c>
      <c r="EF34" s="48">
        <f t="shared" si="476"/>
        <v>0</v>
      </c>
      <c r="EG34" s="62">
        <f t="shared" si="477"/>
        <v>1125</v>
      </c>
      <c r="EH34" s="62">
        <f t="shared" si="478"/>
        <v>15603.75</v>
      </c>
      <c r="EI34" s="48">
        <f t="shared" si="479"/>
        <v>0</v>
      </c>
      <c r="EJ34" s="62">
        <f t="shared" si="480"/>
        <v>0</v>
      </c>
      <c r="EK34" s="62">
        <f t="shared" si="481"/>
        <v>0</v>
      </c>
      <c r="EL34" s="48">
        <f t="shared" si="482"/>
        <v>0</v>
      </c>
      <c r="EM34" s="62">
        <f t="shared" si="483"/>
        <v>405</v>
      </c>
      <c r="EN34" s="62">
        <f t="shared" si="484"/>
        <v>5617.3499999999995</v>
      </c>
      <c r="EO34" s="48">
        <f t="shared" si="485"/>
        <v>0</v>
      </c>
      <c r="EP34" s="62">
        <f t="shared" si="486"/>
        <v>0</v>
      </c>
      <c r="EQ34" s="62">
        <f t="shared" si="486"/>
        <v>0</v>
      </c>
      <c r="ER34" s="62">
        <f t="shared" si="486"/>
        <v>0</v>
      </c>
      <c r="ES34" s="62">
        <f t="shared" si="487"/>
        <v>5201.25</v>
      </c>
      <c r="ET34" s="62">
        <f t="shared" si="487"/>
        <v>0</v>
      </c>
      <c r="EU34" s="62">
        <f t="shared" si="487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8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 t="shared" si="57"/>
        <v>1</v>
      </c>
      <c r="FS34" s="103" t="b">
        <f t="shared" si="58"/>
        <v>1</v>
      </c>
      <c r="FT34" s="103" t="b">
        <f t="shared" si="59"/>
        <v>1</v>
      </c>
      <c r="FU34" s="103" t="b">
        <f t="shared" si="60"/>
        <v>0</v>
      </c>
      <c r="FV34" s="103" t="b">
        <f t="shared" si="61"/>
        <v>1</v>
      </c>
      <c r="FW34" s="104" t="b">
        <f t="shared" si="66"/>
        <v>0</v>
      </c>
      <c r="FX34" s="120" t="b">
        <f t="shared" si="489"/>
        <v>1</v>
      </c>
      <c r="FY34" s="104" t="s">
        <v>214</v>
      </c>
      <c r="FZ34" s="104" t="b">
        <f t="shared" si="490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91"/>
        <v>1</v>
      </c>
      <c r="GI34" s="8" t="b">
        <f t="shared" si="492"/>
        <v>0</v>
      </c>
    </row>
    <row r="35" spans="1:191" s="31" customFormat="1" ht="30" hidden="1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93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94">Q35*FH35</f>
        <v>901490.8</v>
      </c>
      <c r="S35" s="94">
        <v>172</v>
      </c>
      <c r="T35" s="94">
        <v>1107545.8400000001</v>
      </c>
      <c r="U35" s="94">
        <f t="shared" ref="U35:U36" si="495">IFERROR(ROUNDUP(S35/$EX35,0)*$EY35,0)</f>
        <v>15</v>
      </c>
      <c r="V35" s="94">
        <f t="shared" ref="V35:V36" si="496">SUM(Z35:AD35)</f>
        <v>107</v>
      </c>
      <c r="W35" s="94">
        <f t="shared" ref="W35:W36" si="497">V35*FH35</f>
        <v>688996.54</v>
      </c>
      <c r="X35" s="94">
        <f t="shared" ref="X35:X36" si="498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9">AA35*FH35</f>
        <v>0</v>
      </c>
      <c r="AF35" s="95">
        <f t="shared" ref="AF35:AF36" si="500">AB35*FH35</f>
        <v>0</v>
      </c>
      <c r="AG35" s="96">
        <v>0</v>
      </c>
      <c r="AH35" s="95">
        <f t="shared" ref="AH35:AH36" si="501">V35-AG35</f>
        <v>107</v>
      </c>
      <c r="AI35" s="94">
        <f t="shared" ref="AI35:AI36" si="502">IF(AH35&gt;0,AH35*FH35,0)</f>
        <v>688996.54</v>
      </c>
      <c r="AJ35" s="94">
        <f t="shared" ref="AJ35:AJ36" si="503">CU35</f>
        <v>11</v>
      </c>
      <c r="AK35" s="94">
        <f t="shared" ref="AK35:AK38" si="504">SUM(CS35:CU35)</f>
        <v>79</v>
      </c>
      <c r="AL35" s="94">
        <f t="shared" ref="AL35:AL36" si="505">SUM(CP35:CU35)</f>
        <v>114</v>
      </c>
      <c r="AM35" s="94">
        <f t="shared" ref="AM35:AM36" si="506">SUM(BK35:BP35)</f>
        <v>249</v>
      </c>
      <c r="AN35" s="94">
        <f t="shared" ref="AN35:AN36" si="507">IFERROR(S35/BQ35*30,"нет оборота")</f>
        <v>62.168674698795179</v>
      </c>
      <c r="AO35" s="94" t="str">
        <f t="shared" ref="AO35:AO36" si="508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9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10">IF(AT35="Да",W35,0)</f>
        <v>688996.54</v>
      </c>
      <c r="AX35" s="14">
        <f>MONTH(BC35)-6</f>
        <v>5</v>
      </c>
      <c r="AY35" s="94">
        <f t="shared" ref="AY35:AY36" si="511">IF(AX35&gt;6,W35,0)</f>
        <v>0</v>
      </c>
      <c r="AZ35" s="93" t="s">
        <v>1015</v>
      </c>
      <c r="BA35" s="26" t="s">
        <v>201</v>
      </c>
      <c r="BB35" s="26" t="s">
        <v>309</v>
      </c>
      <c r="BC35" s="27">
        <v>45962</v>
      </c>
      <c r="BD35" s="28" t="s">
        <v>310</v>
      </c>
      <c r="BE35" s="29">
        <v>0</v>
      </c>
      <c r="BF35" s="29">
        <f t="shared" ref="BF35:BF36" si="512">BE35*FH35</f>
        <v>0</v>
      </c>
      <c r="BG35" s="29">
        <v>0</v>
      </c>
      <c r="BH35" s="29">
        <f t="shared" ref="BH35:BH36" si="513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14">IF(COUNTIF(BK35:BP35,"&gt;0")=0,0,SUM(BK35:BP35)/COUNTIF(BK35:BP35,"&gt;0"))</f>
        <v>83</v>
      </c>
      <c r="BR35" s="95">
        <f t="shared" ref="BR35:BR36" si="515">IF(OR(Q35=0,SUM(BK35:BP35)=0,V35&gt;Q35),V35-BK35,Q35-BK35)</f>
        <v>57</v>
      </c>
      <c r="BS35" s="95">
        <f t="shared" ref="BS35:BW38" si="516">BR35-BL35</f>
        <v>57</v>
      </c>
      <c r="BT35" s="95">
        <f t="shared" si="516"/>
        <v>57</v>
      </c>
      <c r="BU35" s="95">
        <f t="shared" si="516"/>
        <v>-26</v>
      </c>
      <c r="BV35" s="95">
        <f t="shared" si="516"/>
        <v>-26</v>
      </c>
      <c r="BW35" s="95">
        <f t="shared" si="516"/>
        <v>-109</v>
      </c>
      <c r="BX35" s="95">
        <f t="shared" ref="BX35:CO36" si="517">BW35-$BQ35</f>
        <v>-192</v>
      </c>
      <c r="BY35" s="95">
        <f t="shared" si="517"/>
        <v>-275</v>
      </c>
      <c r="BZ35" s="95">
        <f t="shared" si="517"/>
        <v>-358</v>
      </c>
      <c r="CA35" s="95">
        <f t="shared" si="517"/>
        <v>-441</v>
      </c>
      <c r="CB35" s="95">
        <f t="shared" si="517"/>
        <v>-524</v>
      </c>
      <c r="CC35" s="95">
        <f t="shared" si="517"/>
        <v>-607</v>
      </c>
      <c r="CD35" s="95">
        <f t="shared" si="517"/>
        <v>-690</v>
      </c>
      <c r="CE35" s="95">
        <f t="shared" si="517"/>
        <v>-773</v>
      </c>
      <c r="CF35" s="95">
        <f t="shared" si="517"/>
        <v>-856</v>
      </c>
      <c r="CG35" s="95">
        <f t="shared" si="517"/>
        <v>-939</v>
      </c>
      <c r="CH35" s="95">
        <f t="shared" si="517"/>
        <v>-1022</v>
      </c>
      <c r="CI35" s="95">
        <f t="shared" si="517"/>
        <v>-1105</v>
      </c>
      <c r="CJ35" s="95">
        <f t="shared" si="517"/>
        <v>-1188</v>
      </c>
      <c r="CK35" s="95">
        <f t="shared" si="517"/>
        <v>-1271</v>
      </c>
      <c r="CL35" s="95">
        <f t="shared" si="517"/>
        <v>-1354</v>
      </c>
      <c r="CM35" s="95">
        <f t="shared" si="517"/>
        <v>-1437</v>
      </c>
      <c r="CN35" s="95">
        <f t="shared" si="517"/>
        <v>-1520</v>
      </c>
      <c r="CO35" s="95">
        <f t="shared" si="517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8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9">IFERROR(CZ35/CY35,0)</f>
        <v>0.53012048192771066</v>
      </c>
      <c r="DB35" s="62">
        <f t="shared" ref="DB35:DB36" si="520">CY35*FH35</f>
        <v>534455.26</v>
      </c>
      <c r="DC35" s="62">
        <f t="shared" ref="DC35:DC36" si="521">CZ35*FH35</f>
        <v>283325.67999999993</v>
      </c>
      <c r="DD35" s="102">
        <f t="shared" ref="DD35:DD36" si="522">IFERROR(DC35/DB35,0)</f>
        <v>0.53012048192771066</v>
      </c>
      <c r="DE35" s="31">
        <v>0</v>
      </c>
      <c r="DG35" s="31">
        <v>0</v>
      </c>
      <c r="DH35" s="48">
        <f t="shared" ref="DH35:DH36" si="523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24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25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6">IFERROR(ROUNDUP(DS35/$EX35,0)*$EY35,0)</f>
        <v>16.5</v>
      </c>
      <c r="DV35" s="62">
        <v>44</v>
      </c>
      <c r="DW35" s="62">
        <v>283325.82842592598</v>
      </c>
      <c r="DX35" s="62">
        <f t="shared" ref="DX35:DX36" si="527">$DF35*BK35/30</f>
        <v>0</v>
      </c>
      <c r="DY35" s="62">
        <f t="shared" ref="DY35:DY36" si="528">DX35*$FH35</f>
        <v>0</v>
      </c>
      <c r="DZ35" s="48">
        <f t="shared" ref="DZ35:DZ36" si="529">IFERROR(ROUNDUP(DX35/$EX35,0)*$EY35,0)</f>
        <v>0</v>
      </c>
      <c r="EA35" s="62">
        <f t="shared" ref="EA35:EA36" si="530">$DF35*BL35/30</f>
        <v>0</v>
      </c>
      <c r="EB35" s="62">
        <f t="shared" ref="EB35:EB36" si="531">EA35*$FH35</f>
        <v>0</v>
      </c>
      <c r="EC35" s="48">
        <f t="shared" ref="EC35:EC36" si="532">IFERROR(ROUNDUP(EA35/$EX35,0)*$EY35,0)</f>
        <v>0</v>
      </c>
      <c r="ED35" s="62">
        <f t="shared" ref="ED35:ED36" si="533">$DF35*BM35/30</f>
        <v>0</v>
      </c>
      <c r="EE35" s="62">
        <f t="shared" ref="EE35:EE36" si="534">ED35*$FH35</f>
        <v>0</v>
      </c>
      <c r="EF35" s="48">
        <f t="shared" ref="EF35:EF36" si="535">IFERROR(ROUNDUP(ED35/$EX35,0)*$EY35,0)</f>
        <v>0</v>
      </c>
      <c r="EG35" s="62">
        <f t="shared" ref="EG35:EG36" si="536">$DF35*BN35/30</f>
        <v>0</v>
      </c>
      <c r="EH35" s="62">
        <f t="shared" ref="EH35:EH36" si="537">EG35*$FH35</f>
        <v>0</v>
      </c>
      <c r="EI35" s="48">
        <f t="shared" ref="EI35:EI36" si="538">IFERROR(ROUNDUP(EG35/$EX35,0)*$EY35,0)</f>
        <v>0</v>
      </c>
      <c r="EJ35" s="62">
        <f t="shared" ref="EJ35:EJ36" si="539">$DF35*BO35/30</f>
        <v>0</v>
      </c>
      <c r="EK35" s="62">
        <f t="shared" ref="EK35:EK36" si="540">EJ35*$FH35</f>
        <v>0</v>
      </c>
      <c r="EL35" s="48">
        <f t="shared" ref="EL35:EL36" si="541">IFERROR(ROUNDUP(EJ35/$EX35,0)*$EY35,0)</f>
        <v>0</v>
      </c>
      <c r="EM35" s="62">
        <f t="shared" ref="EM35:EM36" si="542">$DF35*BP35/30</f>
        <v>0</v>
      </c>
      <c r="EN35" s="62">
        <f t="shared" ref="EN35:EN36" si="543">EM35*$FH35</f>
        <v>0</v>
      </c>
      <c r="EO35" s="48">
        <f t="shared" ref="EO35:EO36" si="544">IFERROR(ROUNDUP(EM35/$EX35,0)*$EY35,0)</f>
        <v>0</v>
      </c>
      <c r="EP35" s="62">
        <f t="shared" ref="EP35:ER38" si="545">BK35*$FH35</f>
        <v>534455.26</v>
      </c>
      <c r="EQ35" s="62">
        <f t="shared" si="545"/>
        <v>0</v>
      </c>
      <c r="ER35" s="62">
        <f t="shared" si="545"/>
        <v>0</v>
      </c>
      <c r="ES35" s="62">
        <f t="shared" ref="ES35:EU38" si="546">BN35*$FH35</f>
        <v>534455.26</v>
      </c>
      <c r="ET35" s="62">
        <f t="shared" si="546"/>
        <v>0</v>
      </c>
      <c r="EU35" s="62">
        <f t="shared" si="546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7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 t="shared" si="57"/>
        <v>1</v>
      </c>
      <c r="FS35" s="104" t="b">
        <f t="shared" si="58"/>
        <v>1</v>
      </c>
      <c r="FT35" s="104" t="b">
        <f t="shared" si="59"/>
        <v>1</v>
      </c>
      <c r="FU35" s="104" t="b">
        <f t="shared" si="60"/>
        <v>1</v>
      </c>
      <c r="FV35" s="104" t="b">
        <f t="shared" si="61"/>
        <v>1</v>
      </c>
      <c r="FW35" s="104" t="b">
        <f t="shared" si="66"/>
        <v>0</v>
      </c>
      <c r="FX35" s="104" t="b">
        <f t="shared" ref="FX35:FX36" si="548">EXACT(FQ35,BI35)</f>
        <v>1</v>
      </c>
      <c r="FY35" s="104" t="s">
        <v>214</v>
      </c>
      <c r="FZ35" s="104" t="b">
        <f t="shared" ref="FZ35:FZ36" si="549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50">EXACT(GD35,C35)</f>
        <v>1</v>
      </c>
      <c r="GI35" s="108" t="b">
        <f t="shared" ref="GI35:GI36" si="551">EXACT(GG35,G35)</f>
        <v>0</v>
      </c>
    </row>
    <row r="36" spans="1:191" s="31" customFormat="1" ht="30" hidden="1" x14ac:dyDescent="0.25">
      <c r="A36" s="109">
        <v>155712</v>
      </c>
      <c r="B36" s="109">
        <v>979869</v>
      </c>
      <c r="C36" s="110" t="s">
        <v>214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93"/>
        <v>нет минмакс</v>
      </c>
      <c r="Q36" s="95">
        <v>24</v>
      </c>
      <c r="R36" s="95">
        <f t="shared" si="494"/>
        <v>31080</v>
      </c>
      <c r="S36" s="112">
        <v>24</v>
      </c>
      <c r="T36" s="112">
        <v>31080</v>
      </c>
      <c r="U36" s="112">
        <f t="shared" si="495"/>
        <v>3</v>
      </c>
      <c r="V36" s="113">
        <f t="shared" si="496"/>
        <v>24</v>
      </c>
      <c r="W36" s="113">
        <f t="shared" si="497"/>
        <v>31080</v>
      </c>
      <c r="X36" s="113">
        <f t="shared" si="498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9"/>
        <v>0</v>
      </c>
      <c r="AF36" s="95">
        <f t="shared" si="500"/>
        <v>0</v>
      </c>
      <c r="AG36" s="114">
        <v>0</v>
      </c>
      <c r="AH36" s="95">
        <f t="shared" si="501"/>
        <v>24</v>
      </c>
      <c r="AI36" s="115">
        <f t="shared" si="502"/>
        <v>31080</v>
      </c>
      <c r="AJ36" s="95">
        <f t="shared" si="503"/>
        <v>0</v>
      </c>
      <c r="AK36" s="95">
        <f t="shared" si="504"/>
        <v>0</v>
      </c>
      <c r="AL36" s="95">
        <f t="shared" si="505"/>
        <v>0</v>
      </c>
      <c r="AM36" s="95">
        <f t="shared" si="506"/>
        <v>166</v>
      </c>
      <c r="AN36" s="95">
        <f t="shared" si="507"/>
        <v>8.6746987951807224</v>
      </c>
      <c r="AO36" s="95" t="str">
        <f t="shared" si="508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9"/>
        <v>0-04</v>
      </c>
      <c r="AW36" s="117">
        <f t="shared" si="510"/>
        <v>0</v>
      </c>
      <c r="AX36" s="118"/>
      <c r="AY36" s="25">
        <f t="shared" si="511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12"/>
        <v>0</v>
      </c>
      <c r="BG36" s="29">
        <v>0</v>
      </c>
      <c r="BH36" s="29">
        <f t="shared" si="513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14"/>
        <v>83</v>
      </c>
      <c r="BR36" s="95">
        <f t="shared" si="515"/>
        <v>24</v>
      </c>
      <c r="BS36" s="95">
        <f t="shared" si="516"/>
        <v>24</v>
      </c>
      <c r="BT36" s="95">
        <f t="shared" si="516"/>
        <v>24</v>
      </c>
      <c r="BU36" s="95">
        <f t="shared" si="516"/>
        <v>-59</v>
      </c>
      <c r="BV36" s="95">
        <f t="shared" si="516"/>
        <v>-59</v>
      </c>
      <c r="BW36" s="95">
        <f t="shared" si="516"/>
        <v>-142</v>
      </c>
      <c r="BX36" s="95">
        <f t="shared" si="517"/>
        <v>-225</v>
      </c>
      <c r="BY36" s="95">
        <f t="shared" si="517"/>
        <v>-308</v>
      </c>
      <c r="BZ36" s="95">
        <f t="shared" si="517"/>
        <v>-391</v>
      </c>
      <c r="CA36" s="95">
        <f t="shared" si="517"/>
        <v>-474</v>
      </c>
      <c r="CB36" s="95">
        <f t="shared" si="517"/>
        <v>-557</v>
      </c>
      <c r="CC36" s="95">
        <f t="shared" si="517"/>
        <v>-640</v>
      </c>
      <c r="CD36" s="95">
        <f t="shared" si="517"/>
        <v>-723</v>
      </c>
      <c r="CE36" s="95">
        <f t="shared" si="517"/>
        <v>-806</v>
      </c>
      <c r="CF36" s="95">
        <f t="shared" si="517"/>
        <v>-889</v>
      </c>
      <c r="CG36" s="95">
        <f t="shared" si="517"/>
        <v>-972</v>
      </c>
      <c r="CH36" s="95">
        <f t="shared" si="517"/>
        <v>-1055</v>
      </c>
      <c r="CI36" s="95">
        <f t="shared" si="517"/>
        <v>-1138</v>
      </c>
      <c r="CJ36" s="95">
        <f t="shared" si="517"/>
        <v>-1221</v>
      </c>
      <c r="CK36" s="95">
        <f t="shared" si="517"/>
        <v>-1304</v>
      </c>
      <c r="CL36" s="95">
        <f t="shared" si="517"/>
        <v>-1387</v>
      </c>
      <c r="CM36" s="95">
        <f t="shared" si="517"/>
        <v>-1470</v>
      </c>
      <c r="CN36" s="95">
        <f t="shared" si="517"/>
        <v>-1553</v>
      </c>
      <c r="CO36" s="95">
        <f t="shared" si="517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8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9"/>
        <v>0</v>
      </c>
      <c r="DB36" s="62">
        <f t="shared" si="520"/>
        <v>0</v>
      </c>
      <c r="DC36" s="62">
        <f t="shared" si="521"/>
        <v>0</v>
      </c>
      <c r="DD36" s="102">
        <f t="shared" si="522"/>
        <v>0</v>
      </c>
      <c r="DE36" s="31">
        <v>0</v>
      </c>
      <c r="DF36" s="31">
        <v>10</v>
      </c>
      <c r="DG36" s="31">
        <v>0</v>
      </c>
      <c r="DH36" s="48">
        <f t="shared" si="523"/>
        <v>0</v>
      </c>
      <c r="DI36" s="62">
        <v>24</v>
      </c>
      <c r="DJ36" s="62">
        <v>31080</v>
      </c>
      <c r="DK36" s="48">
        <f t="shared" si="524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25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6"/>
        <v>3</v>
      </c>
      <c r="DV36" s="62">
        <v>0</v>
      </c>
      <c r="DW36" s="62">
        <v>0</v>
      </c>
      <c r="DX36" s="62">
        <f t="shared" si="527"/>
        <v>0</v>
      </c>
      <c r="DY36" s="62">
        <f t="shared" si="528"/>
        <v>0</v>
      </c>
      <c r="DZ36" s="48">
        <f t="shared" si="529"/>
        <v>0</v>
      </c>
      <c r="EA36" s="62">
        <f t="shared" si="530"/>
        <v>0</v>
      </c>
      <c r="EB36" s="62">
        <f t="shared" si="531"/>
        <v>0</v>
      </c>
      <c r="EC36" s="48">
        <f t="shared" si="532"/>
        <v>0</v>
      </c>
      <c r="ED36" s="62">
        <f t="shared" si="533"/>
        <v>0</v>
      </c>
      <c r="EE36" s="62">
        <f t="shared" si="534"/>
        <v>0</v>
      </c>
      <c r="EF36" s="48">
        <f t="shared" si="535"/>
        <v>0</v>
      </c>
      <c r="EG36" s="62">
        <f t="shared" si="536"/>
        <v>27.666666666666668</v>
      </c>
      <c r="EH36" s="62">
        <f t="shared" si="537"/>
        <v>35828.333333333336</v>
      </c>
      <c r="EI36" s="48">
        <f t="shared" si="538"/>
        <v>3</v>
      </c>
      <c r="EJ36" s="62">
        <f t="shared" si="539"/>
        <v>0</v>
      </c>
      <c r="EK36" s="62">
        <f t="shared" si="540"/>
        <v>0</v>
      </c>
      <c r="EL36" s="48">
        <f t="shared" si="541"/>
        <v>0</v>
      </c>
      <c r="EM36" s="62">
        <f t="shared" si="542"/>
        <v>27.666666666666668</v>
      </c>
      <c r="EN36" s="62">
        <f t="shared" si="543"/>
        <v>35828.333333333336</v>
      </c>
      <c r="EO36" s="48">
        <f t="shared" si="544"/>
        <v>3</v>
      </c>
      <c r="EP36" s="62">
        <f t="shared" si="545"/>
        <v>0</v>
      </c>
      <c r="EQ36" s="62">
        <f t="shared" si="545"/>
        <v>0</v>
      </c>
      <c r="ER36" s="62">
        <f t="shared" si="545"/>
        <v>0</v>
      </c>
      <c r="ES36" s="62">
        <f t="shared" si="546"/>
        <v>107485</v>
      </c>
      <c r="ET36" s="62">
        <f t="shared" si="546"/>
        <v>0</v>
      </c>
      <c r="EU36" s="62">
        <f t="shared" si="546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7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 t="shared" si="57"/>
        <v>1</v>
      </c>
      <c r="FS36" s="103" t="b">
        <f t="shared" si="58"/>
        <v>1</v>
      </c>
      <c r="FT36" s="103" t="b">
        <f t="shared" si="59"/>
        <v>1</v>
      </c>
      <c r="FU36" s="103" t="b">
        <f t="shared" si="60"/>
        <v>0</v>
      </c>
      <c r="FV36" s="103" t="b">
        <f t="shared" si="61"/>
        <v>1</v>
      </c>
      <c r="FW36" s="104" t="b">
        <f t="shared" si="66"/>
        <v>0</v>
      </c>
      <c r="FX36" s="120" t="b">
        <f t="shared" si="548"/>
        <v>1</v>
      </c>
      <c r="FY36" s="104" t="s">
        <v>214</v>
      </c>
      <c r="FZ36" s="104" t="b">
        <f t="shared" si="549"/>
        <v>1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50"/>
        <v>1</v>
      </c>
      <c r="GI36" s="8" t="b">
        <f t="shared" si="551"/>
        <v>0</v>
      </c>
    </row>
    <row r="37" spans="1:191" s="31" customFormat="1" ht="60" hidden="1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52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53">Q37*FH37</f>
        <v>1071637.5</v>
      </c>
      <c r="S37" s="94">
        <v>25</v>
      </c>
      <c r="T37" s="94">
        <v>992257</v>
      </c>
      <c r="U37" s="94">
        <f t="shared" ref="U37:U38" si="554">IFERROR(ROUNDUP(S37/$EX37,0)*$EY37,0)</f>
        <v>10.5</v>
      </c>
      <c r="V37" s="94">
        <f t="shared" ref="V37:V38" si="555">SUM(Z37:AD37)</f>
        <v>25</v>
      </c>
      <c r="W37" s="94">
        <f t="shared" ref="W37:W38" si="556">V37*FH37</f>
        <v>1071637.5</v>
      </c>
      <c r="X37" s="94">
        <f t="shared" ref="X37:X38" si="557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8">AA37*FH37</f>
        <v>0</v>
      </c>
      <c r="AF37" s="95">
        <f t="shared" ref="AF37:AF38" si="559">AB37*FH37</f>
        <v>0</v>
      </c>
      <c r="AG37" s="96">
        <v>0</v>
      </c>
      <c r="AH37" s="95">
        <f t="shared" ref="AH37:AH38" si="560">V37-AG37</f>
        <v>25</v>
      </c>
      <c r="AI37" s="94">
        <f t="shared" ref="AI37:AI38" si="561">IF(AH37&gt;0,AH37*FH37,0)</f>
        <v>1071637.5</v>
      </c>
      <c r="AJ37" s="94">
        <f t="shared" ref="AJ37:AJ38" si="562">CU37</f>
        <v>0</v>
      </c>
      <c r="AK37" s="94">
        <f t="shared" si="504"/>
        <v>0</v>
      </c>
      <c r="AL37" s="94">
        <f t="shared" ref="AL37:AL38" si="563">SUM(CP37:CU37)</f>
        <v>3</v>
      </c>
      <c r="AM37" s="94">
        <f t="shared" ref="AM37:AM38" si="564">SUM(BK37:BP37)</f>
        <v>72</v>
      </c>
      <c r="AN37" s="94">
        <f t="shared" ref="AN37:AN38" si="565">IFERROR(S37/BQ37*30,"нет оборота")</f>
        <v>31.250000000000004</v>
      </c>
      <c r="AO37" s="94" t="str">
        <f t="shared" ref="AO37:AO38" si="566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7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8">IF(AT37="Да",W37,0)</f>
        <v>1071637.5</v>
      </c>
      <c r="AX37" s="14">
        <f t="shared" ref="AX37:AX38" si="569">MONTH(BC37)-6</f>
        <v>6</v>
      </c>
      <c r="AY37" s="94">
        <f t="shared" ref="AY37:AY38" si="570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71">BE37*FH37</f>
        <v>0</v>
      </c>
      <c r="BG37" s="29">
        <v>0</v>
      </c>
      <c r="BH37" s="29">
        <f t="shared" ref="BH37:BH38" si="572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73">IF(COUNTIF(BK37:BP37,"&gt;0")=0,0,SUM(BK37:BP37)/COUNTIF(BK37:BP37,"&gt;0"))</f>
        <v>24</v>
      </c>
      <c r="BR37" s="95">
        <f t="shared" ref="BR37:BR38" si="574">IF(OR(Q37=0,SUM(BK37:BP37)=0,V37&gt;Q37),V37-BK37,Q37-BK37)</f>
        <v>25</v>
      </c>
      <c r="BS37" s="95">
        <f t="shared" si="516"/>
        <v>25</v>
      </c>
      <c r="BT37" s="95">
        <f t="shared" si="516"/>
        <v>25</v>
      </c>
      <c r="BU37" s="95">
        <f t="shared" si="516"/>
        <v>1</v>
      </c>
      <c r="BV37" s="95">
        <f t="shared" si="516"/>
        <v>-23</v>
      </c>
      <c r="BW37" s="95">
        <f t="shared" si="516"/>
        <v>-47</v>
      </c>
      <c r="BX37" s="95">
        <f t="shared" ref="BX37:CO38" si="575">BW37-$BQ37</f>
        <v>-71</v>
      </c>
      <c r="BY37" s="95">
        <f t="shared" si="575"/>
        <v>-95</v>
      </c>
      <c r="BZ37" s="95">
        <f t="shared" si="575"/>
        <v>-119</v>
      </c>
      <c r="CA37" s="95">
        <f t="shared" si="575"/>
        <v>-143</v>
      </c>
      <c r="CB37" s="95">
        <f t="shared" si="575"/>
        <v>-167</v>
      </c>
      <c r="CC37" s="95">
        <f t="shared" si="575"/>
        <v>-191</v>
      </c>
      <c r="CD37" s="95">
        <f t="shared" si="575"/>
        <v>-215</v>
      </c>
      <c r="CE37" s="95">
        <f t="shared" si="575"/>
        <v>-239</v>
      </c>
      <c r="CF37" s="95">
        <f t="shared" si="575"/>
        <v>-263</v>
      </c>
      <c r="CG37" s="95">
        <f t="shared" si="575"/>
        <v>-287</v>
      </c>
      <c r="CH37" s="95">
        <f t="shared" si="575"/>
        <v>-311</v>
      </c>
      <c r="CI37" s="95">
        <f t="shared" si="575"/>
        <v>-335</v>
      </c>
      <c r="CJ37" s="95">
        <f t="shared" si="575"/>
        <v>-359</v>
      </c>
      <c r="CK37" s="95">
        <f t="shared" si="575"/>
        <v>-383</v>
      </c>
      <c r="CL37" s="95">
        <f t="shared" si="575"/>
        <v>-407</v>
      </c>
      <c r="CM37" s="95">
        <f t="shared" si="575"/>
        <v>-431</v>
      </c>
      <c r="CN37" s="95">
        <f t="shared" si="575"/>
        <v>-455</v>
      </c>
      <c r="CO37" s="95">
        <f t="shared" si="575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6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7">IFERROR(CZ37/CY37,0)</f>
        <v>0</v>
      </c>
      <c r="DB37" s="62">
        <f t="shared" ref="DB37:DB38" si="578">CY37*FH37</f>
        <v>0</v>
      </c>
      <c r="DC37" s="62">
        <f t="shared" ref="DC37:DC38" si="579">CZ37*FH37</f>
        <v>0</v>
      </c>
      <c r="DD37" s="102">
        <f t="shared" ref="DD37:DD38" si="580">IFERROR(DC37/DB37,0)</f>
        <v>0</v>
      </c>
      <c r="DE37" s="31">
        <v>0</v>
      </c>
      <c r="DG37" s="31">
        <v>0</v>
      </c>
      <c r="DH37" s="48">
        <f t="shared" ref="DH37:DH38" si="581">IFERROR(ROUNDUP(DG37/$EX37,0)*$EY37,0)</f>
        <v>0</v>
      </c>
      <c r="DI37" s="62">
        <v>20</v>
      </c>
      <c r="DJ37" s="62">
        <v>893031.22</v>
      </c>
      <c r="DK37" s="48">
        <f t="shared" ref="DK37:DK38" si="582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83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84">IFERROR(ROUNDUP(DS37/$EX37,0)*$EY37,0)</f>
        <v>10.5</v>
      </c>
      <c r="DV37" s="62">
        <v>0</v>
      </c>
      <c r="DW37" s="62">
        <v>0</v>
      </c>
      <c r="DX37" s="62">
        <f t="shared" ref="DX37:DX38" si="585">$DF37*BK37/30</f>
        <v>0</v>
      </c>
      <c r="DY37" s="62">
        <f t="shared" ref="DY37:DY38" si="586">DX37*$FH37</f>
        <v>0</v>
      </c>
      <c r="DZ37" s="48">
        <f t="shared" ref="DZ37:DZ38" si="587">IFERROR(ROUNDUP(DX37/$EX37,0)*$EY37,0)</f>
        <v>0</v>
      </c>
      <c r="EA37" s="62">
        <f t="shared" ref="EA37:EA38" si="588">$DF37*BL37/30</f>
        <v>0</v>
      </c>
      <c r="EB37" s="62">
        <f t="shared" ref="EB37:EB38" si="589">EA37*$FH37</f>
        <v>0</v>
      </c>
      <c r="EC37" s="48">
        <f t="shared" ref="EC37:EC38" si="590">IFERROR(ROUNDUP(EA37/$EX37,0)*$EY37,0)</f>
        <v>0</v>
      </c>
      <c r="ED37" s="62">
        <f t="shared" ref="ED37:ED38" si="591">$DF37*BM37/30</f>
        <v>0</v>
      </c>
      <c r="EE37" s="62">
        <f t="shared" ref="EE37:EE38" si="592">ED37*$FH37</f>
        <v>0</v>
      </c>
      <c r="EF37" s="48">
        <f t="shared" ref="EF37:EF38" si="593">IFERROR(ROUNDUP(ED37/$EX37,0)*$EY37,0)</f>
        <v>0</v>
      </c>
      <c r="EG37" s="62">
        <f t="shared" ref="EG37:EG38" si="594">$DF37*BN37/30</f>
        <v>0</v>
      </c>
      <c r="EH37" s="62">
        <f t="shared" ref="EH37:EH38" si="595">EG37*$FH37</f>
        <v>0</v>
      </c>
      <c r="EI37" s="48">
        <f t="shared" ref="EI37:EI38" si="596">IFERROR(ROUNDUP(EG37/$EX37,0)*$EY37,0)</f>
        <v>0</v>
      </c>
      <c r="EJ37" s="62">
        <f t="shared" ref="EJ37:EJ38" si="597">$DF37*BO37/30</f>
        <v>0</v>
      </c>
      <c r="EK37" s="62">
        <f t="shared" ref="EK37:EK38" si="598">EJ37*$FH37</f>
        <v>0</v>
      </c>
      <c r="EL37" s="48">
        <f t="shared" ref="EL37:EL38" si="599">IFERROR(ROUNDUP(EJ37/$EX37,0)*$EY37,0)</f>
        <v>0</v>
      </c>
      <c r="EM37" s="62">
        <f t="shared" ref="EM37:EM38" si="600">$DF37*BP37/30</f>
        <v>0</v>
      </c>
      <c r="EN37" s="62">
        <f t="shared" ref="EN37:EN38" si="601">EM37*$FH37</f>
        <v>0</v>
      </c>
      <c r="EO37" s="48">
        <f t="shared" ref="EO37:EO38" si="602">IFERROR(ROUNDUP(EM37/$EX37,0)*$EY37,0)</f>
        <v>0</v>
      </c>
      <c r="EP37" s="62">
        <f t="shared" si="545"/>
        <v>0</v>
      </c>
      <c r="EQ37" s="62">
        <f t="shared" si="545"/>
        <v>0</v>
      </c>
      <c r="ER37" s="62">
        <f t="shared" si="545"/>
        <v>0</v>
      </c>
      <c r="ES37" s="62">
        <f t="shared" si="546"/>
        <v>1028772</v>
      </c>
      <c r="ET37" s="62">
        <f t="shared" si="546"/>
        <v>1028772</v>
      </c>
      <c r="EU37" s="62">
        <f t="shared" si="546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603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 t="shared" si="57"/>
        <v>1</v>
      </c>
      <c r="FS37" s="104" t="b">
        <f t="shared" si="58"/>
        <v>1</v>
      </c>
      <c r="FT37" s="104" t="b">
        <f t="shared" si="59"/>
        <v>1</v>
      </c>
      <c r="FU37" s="104" t="b">
        <f t="shared" si="60"/>
        <v>1</v>
      </c>
      <c r="FV37" s="104" t="b">
        <f t="shared" si="61"/>
        <v>1</v>
      </c>
      <c r="FW37" s="104" t="b">
        <f t="shared" si="66"/>
        <v>0</v>
      </c>
      <c r="FX37" s="104" t="b">
        <f t="shared" ref="FX37:FX38" si="604">EXACT(FQ37,BI37)</f>
        <v>1</v>
      </c>
      <c r="FY37" s="104" t="s">
        <v>214</v>
      </c>
      <c r="FZ37" s="104" t="b">
        <f t="shared" ref="FZ37:FZ38" si="605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6">EXACT(GD37,C37)</f>
        <v>1</v>
      </c>
      <c r="GI37" s="108" t="b">
        <f t="shared" ref="GI37:GI38" si="607">EXACT(GG37,G37)</f>
        <v>0</v>
      </c>
    </row>
    <row r="38" spans="1:191" s="31" customFormat="1" ht="90" hidden="1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52"/>
        <v>в диапазоне</v>
      </c>
      <c r="Q38" s="95">
        <v>300</v>
      </c>
      <c r="R38" s="95">
        <f t="shared" si="553"/>
        <v>22323</v>
      </c>
      <c r="S38" s="112">
        <v>300</v>
      </c>
      <c r="T38" s="112">
        <v>22323</v>
      </c>
      <c r="U38" s="112">
        <f t="shared" si="554"/>
        <v>0</v>
      </c>
      <c r="V38" s="113">
        <f t="shared" si="555"/>
        <v>300</v>
      </c>
      <c r="W38" s="113">
        <f t="shared" si="556"/>
        <v>22323</v>
      </c>
      <c r="X38" s="113">
        <f t="shared" si="557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8"/>
        <v>0</v>
      </c>
      <c r="AF38" s="95">
        <f t="shared" si="559"/>
        <v>0</v>
      </c>
      <c r="AG38" s="114">
        <v>0</v>
      </c>
      <c r="AH38" s="95">
        <f t="shared" si="560"/>
        <v>300</v>
      </c>
      <c r="AI38" s="115">
        <f t="shared" si="561"/>
        <v>22323</v>
      </c>
      <c r="AJ38" s="95">
        <f t="shared" si="562"/>
        <v>0</v>
      </c>
      <c r="AK38" s="95">
        <f t="shared" si="504"/>
        <v>10</v>
      </c>
      <c r="AL38" s="95">
        <f t="shared" si="563"/>
        <v>952</v>
      </c>
      <c r="AM38" s="95">
        <f t="shared" si="564"/>
        <v>48</v>
      </c>
      <c r="AN38" s="95">
        <f t="shared" si="565"/>
        <v>187.5</v>
      </c>
      <c r="AO38" s="95" t="str">
        <f t="shared" si="566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7"/>
        <v>0-12</v>
      </c>
      <c r="AW38" s="117">
        <f t="shared" si="568"/>
        <v>22323</v>
      </c>
      <c r="AX38" s="14">
        <f t="shared" si="569"/>
        <v>6</v>
      </c>
      <c r="AY38" s="25">
        <f t="shared" si="570"/>
        <v>0</v>
      </c>
      <c r="AZ38" s="109" t="s">
        <v>1016</v>
      </c>
      <c r="BA38" s="26" t="s">
        <v>196</v>
      </c>
      <c r="BB38" s="26" t="s">
        <v>318</v>
      </c>
      <c r="BC38" s="27">
        <v>46022</v>
      </c>
      <c r="BD38" s="28"/>
      <c r="BE38" s="29">
        <v>0</v>
      </c>
      <c r="BF38" s="29">
        <f t="shared" si="571"/>
        <v>0</v>
      </c>
      <c r="BG38" s="29">
        <v>0</v>
      </c>
      <c r="BH38" s="29">
        <f t="shared" si="572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73"/>
        <v>48</v>
      </c>
      <c r="BR38" s="95">
        <f t="shared" si="574"/>
        <v>300</v>
      </c>
      <c r="BS38" s="95">
        <f t="shared" si="516"/>
        <v>300</v>
      </c>
      <c r="BT38" s="95">
        <f t="shared" si="516"/>
        <v>300</v>
      </c>
      <c r="BU38" s="95">
        <f t="shared" si="516"/>
        <v>300</v>
      </c>
      <c r="BV38" s="95">
        <f t="shared" si="516"/>
        <v>300</v>
      </c>
      <c r="BW38" s="95">
        <f t="shared" si="516"/>
        <v>252</v>
      </c>
      <c r="BX38" s="95">
        <f t="shared" si="575"/>
        <v>204</v>
      </c>
      <c r="BY38" s="95">
        <f t="shared" si="575"/>
        <v>156</v>
      </c>
      <c r="BZ38" s="95">
        <f t="shared" si="575"/>
        <v>108</v>
      </c>
      <c r="CA38" s="95">
        <f t="shared" si="575"/>
        <v>60</v>
      </c>
      <c r="CB38" s="95">
        <f t="shared" si="575"/>
        <v>12</v>
      </c>
      <c r="CC38" s="95">
        <f t="shared" si="575"/>
        <v>-36</v>
      </c>
      <c r="CD38" s="95">
        <f t="shared" si="575"/>
        <v>-84</v>
      </c>
      <c r="CE38" s="95">
        <f t="shared" si="575"/>
        <v>-132</v>
      </c>
      <c r="CF38" s="95">
        <f t="shared" si="575"/>
        <v>-180</v>
      </c>
      <c r="CG38" s="95">
        <f t="shared" si="575"/>
        <v>-228</v>
      </c>
      <c r="CH38" s="95">
        <f t="shared" si="575"/>
        <v>-276</v>
      </c>
      <c r="CI38" s="95">
        <f t="shared" si="575"/>
        <v>-324</v>
      </c>
      <c r="CJ38" s="95">
        <f t="shared" si="575"/>
        <v>-372</v>
      </c>
      <c r="CK38" s="95">
        <f t="shared" si="575"/>
        <v>-420</v>
      </c>
      <c r="CL38" s="95">
        <f t="shared" si="575"/>
        <v>-468</v>
      </c>
      <c r="CM38" s="95">
        <f t="shared" si="575"/>
        <v>-516</v>
      </c>
      <c r="CN38" s="95">
        <f t="shared" si="575"/>
        <v>-564</v>
      </c>
      <c r="CO38" s="95">
        <f t="shared" si="575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6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7"/>
        <v>0</v>
      </c>
      <c r="DB38" s="62">
        <f t="shared" si="578"/>
        <v>0</v>
      </c>
      <c r="DC38" s="62">
        <f t="shared" si="579"/>
        <v>0</v>
      </c>
      <c r="DD38" s="102">
        <f t="shared" si="580"/>
        <v>0</v>
      </c>
      <c r="DE38" s="31">
        <v>0</v>
      </c>
      <c r="DF38" s="31">
        <v>90</v>
      </c>
      <c r="DG38" s="31">
        <v>0</v>
      </c>
      <c r="DH38" s="48">
        <f t="shared" si="581"/>
        <v>0</v>
      </c>
      <c r="DI38" s="62">
        <v>942</v>
      </c>
      <c r="DJ38" s="62">
        <v>73154.19</v>
      </c>
      <c r="DK38" s="48">
        <f t="shared" si="582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83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84"/>
        <v>0</v>
      </c>
      <c r="DV38" s="62">
        <v>10</v>
      </c>
      <c r="DW38" s="62">
        <v>776.59999999999991</v>
      </c>
      <c r="DX38" s="62">
        <f t="shared" si="585"/>
        <v>0</v>
      </c>
      <c r="DY38" s="62">
        <f t="shared" si="586"/>
        <v>0</v>
      </c>
      <c r="DZ38" s="48">
        <f t="shared" si="587"/>
        <v>0</v>
      </c>
      <c r="EA38" s="62">
        <f t="shared" si="588"/>
        <v>0</v>
      </c>
      <c r="EB38" s="62">
        <f t="shared" si="589"/>
        <v>0</v>
      </c>
      <c r="EC38" s="48">
        <f t="shared" si="590"/>
        <v>0</v>
      </c>
      <c r="ED38" s="62">
        <f t="shared" si="591"/>
        <v>0</v>
      </c>
      <c r="EE38" s="62">
        <f t="shared" si="592"/>
        <v>0</v>
      </c>
      <c r="EF38" s="48">
        <f t="shared" si="593"/>
        <v>0</v>
      </c>
      <c r="EG38" s="62">
        <f t="shared" si="594"/>
        <v>0</v>
      </c>
      <c r="EH38" s="62">
        <f t="shared" si="595"/>
        <v>0</v>
      </c>
      <c r="EI38" s="48">
        <f t="shared" si="596"/>
        <v>0</v>
      </c>
      <c r="EJ38" s="62">
        <f t="shared" si="597"/>
        <v>0</v>
      </c>
      <c r="EK38" s="62">
        <f t="shared" si="598"/>
        <v>0</v>
      </c>
      <c r="EL38" s="48">
        <f t="shared" si="599"/>
        <v>0</v>
      </c>
      <c r="EM38" s="62">
        <f t="shared" si="600"/>
        <v>144</v>
      </c>
      <c r="EN38" s="62">
        <f t="shared" si="601"/>
        <v>10715.039999999999</v>
      </c>
      <c r="EO38" s="48">
        <f t="shared" si="602"/>
        <v>0</v>
      </c>
      <c r="EP38" s="62">
        <f t="shared" si="545"/>
        <v>0</v>
      </c>
      <c r="EQ38" s="62">
        <f t="shared" si="545"/>
        <v>0</v>
      </c>
      <c r="ER38" s="62">
        <f t="shared" si="545"/>
        <v>0</v>
      </c>
      <c r="ES38" s="62">
        <f t="shared" si="546"/>
        <v>0</v>
      </c>
      <c r="ET38" s="62">
        <f t="shared" si="546"/>
        <v>0</v>
      </c>
      <c r="EU38" s="62">
        <f t="shared" si="546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603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 t="shared" si="57"/>
        <v>0</v>
      </c>
      <c r="FS38" s="103" t="b">
        <f t="shared" si="58"/>
        <v>1</v>
      </c>
      <c r="FT38" s="103" t="b">
        <f t="shared" si="59"/>
        <v>1</v>
      </c>
      <c r="FU38" s="103" t="b">
        <f t="shared" si="60"/>
        <v>0</v>
      </c>
      <c r="FV38" s="103" t="b">
        <f t="shared" si="61"/>
        <v>1</v>
      </c>
      <c r="FW38" s="104" t="b">
        <f t="shared" si="66"/>
        <v>0</v>
      </c>
      <c r="FX38" s="120" t="b">
        <f t="shared" si="604"/>
        <v>1</v>
      </c>
      <c r="FY38" s="104" t="s">
        <v>214</v>
      </c>
      <c r="FZ38" s="104" t="b">
        <f t="shared" si="605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6"/>
        <v>1</v>
      </c>
      <c r="GI38" s="8" t="b">
        <f t="shared" si="607"/>
        <v>0</v>
      </c>
    </row>
    <row r="39" spans="1:191" s="31" customFormat="1" ht="30" hidden="1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8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9">Q39*FH39</f>
        <v>1143951.3600000001</v>
      </c>
      <c r="S39" s="94">
        <v>1904</v>
      </c>
      <c r="T39" s="94">
        <v>805468.16000000003</v>
      </c>
      <c r="U39" s="94">
        <f t="shared" ref="U39:U44" si="610">IFERROR(ROUNDUP(S39/$EX39,0)*$EY39,0)</f>
        <v>4</v>
      </c>
      <c r="V39" s="94">
        <f t="shared" ref="V39:V44" si="611">SUM(Z39:AD39)</f>
        <v>2752</v>
      </c>
      <c r="W39" s="94">
        <f t="shared" ref="W39:W44" si="612">V39*FH39</f>
        <v>1143951.3600000001</v>
      </c>
      <c r="X39" s="94">
        <f t="shared" ref="X39:X44" si="613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14">AA39*FH39</f>
        <v>0</v>
      </c>
      <c r="AF39" s="95">
        <f t="shared" ref="AF39:AF44" si="615">AB39*FH39</f>
        <v>0</v>
      </c>
      <c r="AG39" s="96">
        <v>0</v>
      </c>
      <c r="AH39" s="95">
        <f t="shared" ref="AH39:AH44" si="616">V39-AG39</f>
        <v>2752</v>
      </c>
      <c r="AI39" s="94">
        <f t="shared" ref="AI39:AI44" si="617">IF(AH39&gt;0,AH39*FH39,0)</f>
        <v>1143951.3600000001</v>
      </c>
      <c r="AJ39" s="94">
        <f t="shared" ref="AJ39:AJ44" si="618">CU39</f>
        <v>0</v>
      </c>
      <c r="AK39" s="94">
        <f t="shared" ref="AK39:AK40" si="619">SUM(CS39:CU39)</f>
        <v>3104</v>
      </c>
      <c r="AL39" s="94">
        <f t="shared" ref="AL39:AL44" si="620">SUM(CP39:CU39)</f>
        <v>4532</v>
      </c>
      <c r="AM39" s="94">
        <f t="shared" ref="AM39:AM44" si="621">SUM(BK39:BP39)</f>
        <v>10800</v>
      </c>
      <c r="AN39" s="94">
        <f t="shared" ref="AN39:AN44" si="622">IFERROR(S39/BQ39*30,"нет оборота")</f>
        <v>31.733333333333331</v>
      </c>
      <c r="AO39" s="94" t="str">
        <f t="shared" ref="AO39:AO44" si="623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24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25">IF(AT39="Да",W39,0)</f>
        <v>0</v>
      </c>
      <c r="AX39" s="93"/>
      <c r="AY39" s="94">
        <f t="shared" ref="AY39:AY44" si="626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7">BE39*FH39</f>
        <v>0</v>
      </c>
      <c r="BG39" s="29">
        <v>0</v>
      </c>
      <c r="BH39" s="29">
        <f t="shared" ref="BH39:BH44" si="628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9">IF(COUNTIF(BK39:BP39,"&gt;0")=0,0,SUM(BK39:BP39)/COUNTIF(BK39:BP39,"&gt;0"))</f>
        <v>1800</v>
      </c>
      <c r="BR39" s="95">
        <f t="shared" ref="BR39:BR44" si="630">IF(OR(Q39=0,SUM(BK39:BP39)=0,V39&gt;Q39),V39-BK39,Q39-BK39)</f>
        <v>952</v>
      </c>
      <c r="BS39" s="95">
        <f t="shared" ref="BS39:BW44" si="631">BR39-BL39</f>
        <v>-848</v>
      </c>
      <c r="BT39" s="95">
        <f t="shared" si="631"/>
        <v>-2648</v>
      </c>
      <c r="BU39" s="95">
        <f t="shared" si="631"/>
        <v>-4448</v>
      </c>
      <c r="BV39" s="95">
        <f t="shared" si="631"/>
        <v>-6248</v>
      </c>
      <c r="BW39" s="95">
        <f t="shared" si="631"/>
        <v>-8048</v>
      </c>
      <c r="BX39" s="95">
        <f t="shared" ref="BX39:CO44" si="632">BW39-$BQ39</f>
        <v>-9848</v>
      </c>
      <c r="BY39" s="95">
        <f t="shared" si="632"/>
        <v>-11648</v>
      </c>
      <c r="BZ39" s="95">
        <f t="shared" si="632"/>
        <v>-13448</v>
      </c>
      <c r="CA39" s="95">
        <f t="shared" si="632"/>
        <v>-15248</v>
      </c>
      <c r="CB39" s="95">
        <f t="shared" si="632"/>
        <v>-17048</v>
      </c>
      <c r="CC39" s="95">
        <f t="shared" si="632"/>
        <v>-18848</v>
      </c>
      <c r="CD39" s="95">
        <f t="shared" si="632"/>
        <v>-20648</v>
      </c>
      <c r="CE39" s="95">
        <f t="shared" si="632"/>
        <v>-22448</v>
      </c>
      <c r="CF39" s="95">
        <f t="shared" si="632"/>
        <v>-24248</v>
      </c>
      <c r="CG39" s="95">
        <f t="shared" si="632"/>
        <v>-26048</v>
      </c>
      <c r="CH39" s="95">
        <f t="shared" si="632"/>
        <v>-27848</v>
      </c>
      <c r="CI39" s="95">
        <f t="shared" si="632"/>
        <v>-29648</v>
      </c>
      <c r="CJ39" s="95">
        <f t="shared" si="632"/>
        <v>-31448</v>
      </c>
      <c r="CK39" s="95">
        <f t="shared" si="632"/>
        <v>-33248</v>
      </c>
      <c r="CL39" s="95">
        <f t="shared" si="632"/>
        <v>-35048</v>
      </c>
      <c r="CM39" s="95">
        <f t="shared" si="632"/>
        <v>-36848</v>
      </c>
      <c r="CN39" s="95">
        <f t="shared" si="632"/>
        <v>-38648</v>
      </c>
      <c r="CO39" s="95">
        <f t="shared" si="632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33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34">IFERROR(CZ39/CY39,0)</f>
        <v>2.1761479198767333</v>
      </c>
      <c r="DB39" s="62">
        <f t="shared" ref="DB39:DB44" si="635">CY39*FH39</f>
        <v>592914.98901098908</v>
      </c>
      <c r="DC39" s="62">
        <f t="shared" ref="DC39:DC44" si="636">CZ39*FH39</f>
        <v>1290270.7199999997</v>
      </c>
      <c r="DD39" s="102">
        <f t="shared" ref="DD39:DD44" si="637">IFERROR(DC39/DB39,0)</f>
        <v>2.1761479198767328</v>
      </c>
      <c r="DE39" s="31">
        <v>0</v>
      </c>
      <c r="DG39" s="31">
        <v>0</v>
      </c>
      <c r="DH39" s="48">
        <f t="shared" ref="DH39:DH44" si="638">IFERROR(ROUNDUP(DG39/$EX39,0)*$EY39,0)</f>
        <v>0</v>
      </c>
      <c r="DI39" s="62">
        <v>92</v>
      </c>
      <c r="DJ39" s="62">
        <v>35119.18</v>
      </c>
      <c r="DK39" s="48">
        <f t="shared" ref="DK39:DK44" si="639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40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41">IFERROR(ROUNDUP(DS39/$EX39,0)*$EY39,0)</f>
        <v>10</v>
      </c>
      <c r="DV39" s="62">
        <v>3104</v>
      </c>
      <c r="DW39" s="62">
        <v>1311786.9283018867</v>
      </c>
      <c r="DX39" s="62">
        <f t="shared" ref="DX39:DX44" si="642">$DF39*BK39/30</f>
        <v>0</v>
      </c>
      <c r="DY39" s="62">
        <f t="shared" ref="DY39:DY44" si="643">DX39*$FH39</f>
        <v>0</v>
      </c>
      <c r="DZ39" s="48">
        <f t="shared" ref="DZ39:DZ44" si="644">IFERROR(ROUNDUP(DX39/$EX39,0)*$EY39,0)</f>
        <v>0</v>
      </c>
      <c r="EA39" s="62">
        <f t="shared" ref="EA39:EA44" si="645">$DF39*BL39/30</f>
        <v>0</v>
      </c>
      <c r="EB39" s="62">
        <f t="shared" ref="EB39:EB44" si="646">EA39*$FH39</f>
        <v>0</v>
      </c>
      <c r="EC39" s="48">
        <f t="shared" ref="EC39:EC44" si="647">IFERROR(ROUNDUP(EA39/$EX39,0)*$EY39,0)</f>
        <v>0</v>
      </c>
      <c r="ED39" s="62">
        <f t="shared" ref="ED39:ED44" si="648">$DF39*BM39/30</f>
        <v>0</v>
      </c>
      <c r="EE39" s="62">
        <f t="shared" ref="EE39:EE44" si="649">ED39*$FH39</f>
        <v>0</v>
      </c>
      <c r="EF39" s="48">
        <f t="shared" ref="EF39:EF44" si="650">IFERROR(ROUNDUP(ED39/$EX39,0)*$EY39,0)</f>
        <v>0</v>
      </c>
      <c r="EG39" s="62">
        <f t="shared" ref="EG39:EG44" si="651">$DF39*BN39/30</f>
        <v>0</v>
      </c>
      <c r="EH39" s="62">
        <f t="shared" ref="EH39:EH44" si="652">EG39*$FH39</f>
        <v>0</v>
      </c>
      <c r="EI39" s="48">
        <f t="shared" ref="EI39:EI44" si="653">IFERROR(ROUNDUP(EG39/$EX39,0)*$EY39,0)</f>
        <v>0</v>
      </c>
      <c r="EJ39" s="62">
        <f t="shared" ref="EJ39:EJ44" si="654">$DF39*BO39/30</f>
        <v>0</v>
      </c>
      <c r="EK39" s="62">
        <f t="shared" ref="EK39:EK44" si="655">EJ39*$FH39</f>
        <v>0</v>
      </c>
      <c r="EL39" s="48">
        <f t="shared" ref="EL39:EL44" si="656">IFERROR(ROUNDUP(EJ39/$EX39,0)*$EY39,0)</f>
        <v>0</v>
      </c>
      <c r="EM39" s="62">
        <f t="shared" ref="EM39:EM44" si="657">$DF39*BP39/30</f>
        <v>0</v>
      </c>
      <c r="EN39" s="62">
        <f t="shared" ref="EN39:EN44" si="658">EM39*$FH39</f>
        <v>0</v>
      </c>
      <c r="EO39" s="48">
        <f t="shared" ref="EO39:EO44" si="659">IFERROR(ROUNDUP(EM39/$EX39,0)*$EY39,0)</f>
        <v>0</v>
      </c>
      <c r="EP39" s="62">
        <f t="shared" ref="EP39:ER44" si="660">BK39*$FH39</f>
        <v>748224</v>
      </c>
      <c r="EQ39" s="62">
        <f t="shared" si="660"/>
        <v>748224</v>
      </c>
      <c r="ER39" s="62">
        <f t="shared" si="660"/>
        <v>748224</v>
      </c>
      <c r="ES39" s="62">
        <f t="shared" ref="ES39:EU44" si="661">BN39*$FH39</f>
        <v>748224</v>
      </c>
      <c r="ET39" s="62">
        <f t="shared" si="661"/>
        <v>748224</v>
      </c>
      <c r="EU39" s="62">
        <f t="shared" si="661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62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 t="shared" si="57"/>
        <v>1</v>
      </c>
      <c r="FS39" s="104" t="b">
        <f t="shared" si="58"/>
        <v>1</v>
      </c>
      <c r="FT39" s="104" t="b">
        <f t="shared" si="59"/>
        <v>1</v>
      </c>
      <c r="FU39" s="104" t="b">
        <f t="shared" si="60"/>
        <v>0</v>
      </c>
      <c r="FV39" s="104" t="b">
        <f t="shared" si="61"/>
        <v>1</v>
      </c>
      <c r="FW39" s="104" t="b">
        <f t="shared" si="66"/>
        <v>0</v>
      </c>
      <c r="FX39" s="104" t="b">
        <f t="shared" ref="FX39:FX44" si="663">EXACT(FQ39,BI39)</f>
        <v>1</v>
      </c>
      <c r="FY39" s="104" t="s">
        <v>214</v>
      </c>
      <c r="FZ39" s="104" t="b">
        <f t="shared" ref="FZ39:FZ44" si="664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65">EXACT(GD39,C39)</f>
        <v>1</v>
      </c>
      <c r="GI39" s="108" t="b">
        <f t="shared" ref="GI39:GI44" si="666">EXACT(GG39,G39)</f>
        <v>0</v>
      </c>
    </row>
    <row r="40" spans="1:191" s="31" customFormat="1" hidden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8"/>
        <v>нет минмакс</v>
      </c>
      <c r="Q40" s="95">
        <v>1104</v>
      </c>
      <c r="R40" s="95">
        <f t="shared" si="609"/>
        <v>21417.599999999999</v>
      </c>
      <c r="S40" s="112">
        <v>1183</v>
      </c>
      <c r="T40" s="112">
        <v>22950.199999999997</v>
      </c>
      <c r="U40" s="112">
        <f t="shared" si="610"/>
        <v>0</v>
      </c>
      <c r="V40" s="113">
        <f t="shared" si="611"/>
        <v>1104</v>
      </c>
      <c r="W40" s="113">
        <f t="shared" si="612"/>
        <v>21417.599999999999</v>
      </c>
      <c r="X40" s="113">
        <f t="shared" si="613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14"/>
        <v>0</v>
      </c>
      <c r="AF40" s="95">
        <f t="shared" si="615"/>
        <v>0</v>
      </c>
      <c r="AG40" s="114">
        <v>0</v>
      </c>
      <c r="AH40" s="95">
        <f t="shared" si="616"/>
        <v>1104</v>
      </c>
      <c r="AI40" s="115">
        <f t="shared" si="617"/>
        <v>21417.599999999999</v>
      </c>
      <c r="AJ40" s="95">
        <f t="shared" si="618"/>
        <v>0</v>
      </c>
      <c r="AK40" s="95">
        <f t="shared" si="619"/>
        <v>79</v>
      </c>
      <c r="AL40" s="95">
        <f t="shared" si="620"/>
        <v>396</v>
      </c>
      <c r="AM40" s="95">
        <f t="shared" si="621"/>
        <v>787.5</v>
      </c>
      <c r="AN40" s="95">
        <f t="shared" si="622"/>
        <v>135.20000000000002</v>
      </c>
      <c r="AO40" s="95" t="str">
        <f t="shared" si="623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24"/>
        <v>0-08</v>
      </c>
      <c r="AW40" s="117">
        <f t="shared" si="625"/>
        <v>21417.599999999999</v>
      </c>
      <c r="AX40" s="14">
        <f>MONTH(BC40)-6</f>
        <v>5</v>
      </c>
      <c r="AY40" s="25">
        <f t="shared" si="626"/>
        <v>0</v>
      </c>
      <c r="AZ40" s="109" t="s">
        <v>1017</v>
      </c>
      <c r="BA40" s="26" t="s">
        <v>196</v>
      </c>
      <c r="BB40" s="26" t="s">
        <v>299</v>
      </c>
      <c r="BC40" s="27">
        <v>45962</v>
      </c>
      <c r="BD40" s="28"/>
      <c r="BE40" s="29">
        <v>0</v>
      </c>
      <c r="BF40" s="29">
        <f t="shared" si="627"/>
        <v>0</v>
      </c>
      <c r="BG40" s="29">
        <v>0</v>
      </c>
      <c r="BH40" s="29">
        <f t="shared" si="628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9"/>
        <v>262.5</v>
      </c>
      <c r="BR40" s="95">
        <f t="shared" si="630"/>
        <v>1104</v>
      </c>
      <c r="BS40" s="95">
        <f t="shared" si="631"/>
        <v>766.5</v>
      </c>
      <c r="BT40" s="95">
        <f t="shared" si="631"/>
        <v>766.5</v>
      </c>
      <c r="BU40" s="95">
        <f t="shared" si="631"/>
        <v>766.5</v>
      </c>
      <c r="BV40" s="95">
        <f t="shared" si="631"/>
        <v>429</v>
      </c>
      <c r="BW40" s="95">
        <f t="shared" si="631"/>
        <v>316.5</v>
      </c>
      <c r="BX40" s="95">
        <f t="shared" si="632"/>
        <v>54</v>
      </c>
      <c r="BY40" s="95">
        <f t="shared" si="632"/>
        <v>-208.5</v>
      </c>
      <c r="BZ40" s="95">
        <f t="shared" si="632"/>
        <v>-471</v>
      </c>
      <c r="CA40" s="95">
        <f t="shared" si="632"/>
        <v>-733.5</v>
      </c>
      <c r="CB40" s="95">
        <f t="shared" si="632"/>
        <v>-996</v>
      </c>
      <c r="CC40" s="95">
        <f t="shared" si="632"/>
        <v>-1258.5</v>
      </c>
      <c r="CD40" s="95">
        <f t="shared" si="632"/>
        <v>-1521</v>
      </c>
      <c r="CE40" s="95">
        <f t="shared" si="632"/>
        <v>-1783.5</v>
      </c>
      <c r="CF40" s="95">
        <f t="shared" si="632"/>
        <v>-2046</v>
      </c>
      <c r="CG40" s="95">
        <f t="shared" si="632"/>
        <v>-2308.5</v>
      </c>
      <c r="CH40" s="95">
        <f t="shared" si="632"/>
        <v>-2571</v>
      </c>
      <c r="CI40" s="95">
        <f t="shared" si="632"/>
        <v>-2833.5</v>
      </c>
      <c r="CJ40" s="95">
        <f t="shared" si="632"/>
        <v>-3096</v>
      </c>
      <c r="CK40" s="95">
        <f t="shared" si="632"/>
        <v>-3358.5</v>
      </c>
      <c r="CL40" s="95">
        <f t="shared" si="632"/>
        <v>-3621</v>
      </c>
      <c r="CM40" s="95">
        <f t="shared" si="632"/>
        <v>-3883.5</v>
      </c>
      <c r="CN40" s="95">
        <f t="shared" si="632"/>
        <v>-4146</v>
      </c>
      <c r="CO40" s="95">
        <f t="shared" si="632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33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34"/>
        <v>0</v>
      </c>
      <c r="DB40" s="62">
        <f t="shared" si="635"/>
        <v>0</v>
      </c>
      <c r="DC40" s="62">
        <f t="shared" si="636"/>
        <v>0</v>
      </c>
      <c r="DD40" s="102">
        <f t="shared" si="637"/>
        <v>0</v>
      </c>
      <c r="DE40" s="31">
        <v>0</v>
      </c>
      <c r="DF40" s="31">
        <v>90</v>
      </c>
      <c r="DG40" s="31">
        <v>0</v>
      </c>
      <c r="DH40" s="48">
        <f t="shared" si="638"/>
        <v>0</v>
      </c>
      <c r="DI40" s="62">
        <v>500</v>
      </c>
      <c r="DJ40" s="62">
        <v>11551.27</v>
      </c>
      <c r="DK40" s="48">
        <f t="shared" si="639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40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41"/>
        <v>0</v>
      </c>
      <c r="DV40" s="62">
        <v>0</v>
      </c>
      <c r="DW40" s="62">
        <v>0</v>
      </c>
      <c r="DX40" s="62">
        <f t="shared" si="642"/>
        <v>0</v>
      </c>
      <c r="DY40" s="62">
        <f t="shared" si="643"/>
        <v>0</v>
      </c>
      <c r="DZ40" s="48">
        <f t="shared" si="644"/>
        <v>0</v>
      </c>
      <c r="EA40" s="62">
        <f t="shared" si="645"/>
        <v>1012.5</v>
      </c>
      <c r="EB40" s="62">
        <f t="shared" si="646"/>
        <v>19642.5</v>
      </c>
      <c r="EC40" s="48">
        <f t="shared" si="647"/>
        <v>0</v>
      </c>
      <c r="ED40" s="62">
        <f t="shared" si="648"/>
        <v>0</v>
      </c>
      <c r="EE40" s="62">
        <f t="shared" si="649"/>
        <v>0</v>
      </c>
      <c r="EF40" s="48">
        <f t="shared" si="650"/>
        <v>0</v>
      </c>
      <c r="EG40" s="62">
        <f t="shared" si="651"/>
        <v>0</v>
      </c>
      <c r="EH40" s="62">
        <f t="shared" si="652"/>
        <v>0</v>
      </c>
      <c r="EI40" s="48">
        <f t="shared" si="653"/>
        <v>0</v>
      </c>
      <c r="EJ40" s="62">
        <f t="shared" si="654"/>
        <v>1012.5</v>
      </c>
      <c r="EK40" s="62">
        <f t="shared" si="655"/>
        <v>19642.5</v>
      </c>
      <c r="EL40" s="48">
        <f t="shared" si="656"/>
        <v>0</v>
      </c>
      <c r="EM40" s="62">
        <f t="shared" si="657"/>
        <v>337.5</v>
      </c>
      <c r="EN40" s="62">
        <f t="shared" si="658"/>
        <v>6547.4999999999991</v>
      </c>
      <c r="EO40" s="48">
        <f t="shared" si="659"/>
        <v>0</v>
      </c>
      <c r="EP40" s="62">
        <f t="shared" si="660"/>
        <v>0</v>
      </c>
      <c r="EQ40" s="62">
        <f t="shared" si="660"/>
        <v>6547.4999999999991</v>
      </c>
      <c r="ER40" s="62">
        <f t="shared" si="660"/>
        <v>0</v>
      </c>
      <c r="ES40" s="62">
        <f t="shared" si="661"/>
        <v>0</v>
      </c>
      <c r="ET40" s="62">
        <f t="shared" si="661"/>
        <v>6547.4999999999991</v>
      </c>
      <c r="EU40" s="62">
        <f t="shared" si="661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62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 t="shared" si="57"/>
        <v>1</v>
      </c>
      <c r="FS40" s="103" t="b">
        <f t="shared" si="58"/>
        <v>1</v>
      </c>
      <c r="FT40" s="103" t="b">
        <f t="shared" si="59"/>
        <v>1</v>
      </c>
      <c r="FU40" s="103" t="b">
        <f t="shared" si="60"/>
        <v>0</v>
      </c>
      <c r="FV40" s="103" t="b">
        <f t="shared" si="61"/>
        <v>1</v>
      </c>
      <c r="FW40" s="104" t="b">
        <f t="shared" si="66"/>
        <v>0</v>
      </c>
      <c r="FX40" s="120" t="b">
        <f t="shared" si="663"/>
        <v>1</v>
      </c>
      <c r="FY40" s="104" t="s">
        <v>214</v>
      </c>
      <c r="FZ40" s="104" t="b">
        <f t="shared" si="664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65"/>
        <v>1</v>
      </c>
      <c r="GI40" s="8" t="b">
        <f t="shared" si="666"/>
        <v>0</v>
      </c>
    </row>
    <row r="41" spans="1:191" s="31" customFormat="1" hidden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8"/>
        <v>нет минмакс</v>
      </c>
      <c r="Q41" s="95">
        <v>0</v>
      </c>
      <c r="R41" s="95">
        <f t="shared" si="609"/>
        <v>0</v>
      </c>
      <c r="S41" s="112">
        <v>929</v>
      </c>
      <c r="T41" s="112">
        <v>5546.13</v>
      </c>
      <c r="U41" s="112">
        <f t="shared" si="610"/>
        <v>0</v>
      </c>
      <c r="V41" s="113">
        <f t="shared" si="611"/>
        <v>0</v>
      </c>
      <c r="W41" s="113">
        <f t="shared" si="612"/>
        <v>0</v>
      </c>
      <c r="X41" s="113">
        <f t="shared" si="613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14"/>
        <v>0</v>
      </c>
      <c r="AF41" s="95">
        <f t="shared" si="615"/>
        <v>0</v>
      </c>
      <c r="AG41" s="114">
        <v>0</v>
      </c>
      <c r="AH41" s="95">
        <f t="shared" si="616"/>
        <v>0</v>
      </c>
      <c r="AI41" s="115">
        <f t="shared" si="617"/>
        <v>0</v>
      </c>
      <c r="AJ41" s="95">
        <f t="shared" si="618"/>
        <v>0</v>
      </c>
      <c r="AK41" s="95">
        <f t="shared" ref="AK41:AK44" si="667">SUM(CS41:CU41)</f>
        <v>929</v>
      </c>
      <c r="AL41" s="95">
        <f t="shared" si="620"/>
        <v>5937</v>
      </c>
      <c r="AM41" s="95">
        <f t="shared" si="621"/>
        <v>12600</v>
      </c>
      <c r="AN41" s="95">
        <f t="shared" si="622"/>
        <v>6.6357142857142852</v>
      </c>
      <c r="AO41" s="95" t="str">
        <f t="shared" si="623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24"/>
        <v>нет остатка</v>
      </c>
      <c r="AW41" s="117">
        <f t="shared" si="625"/>
        <v>0</v>
      </c>
      <c r="AX41" s="118"/>
      <c r="AY41" s="25">
        <f t="shared" si="626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7"/>
        <v>0</v>
      </c>
      <c r="BG41" s="29">
        <v>0</v>
      </c>
      <c r="BH41" s="29">
        <f t="shared" si="628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9"/>
        <v>4200</v>
      </c>
      <c r="BR41" s="95">
        <f t="shared" si="630"/>
        <v>0</v>
      </c>
      <c r="BS41" s="95">
        <f t="shared" si="631"/>
        <v>-5400</v>
      </c>
      <c r="BT41" s="95">
        <f t="shared" si="631"/>
        <v>-5400</v>
      </c>
      <c r="BU41" s="95">
        <f t="shared" si="631"/>
        <v>-5400</v>
      </c>
      <c r="BV41" s="95">
        <f t="shared" si="631"/>
        <v>-10800</v>
      </c>
      <c r="BW41" s="95">
        <f t="shared" si="631"/>
        <v>-12600</v>
      </c>
      <c r="BX41" s="95">
        <f t="shared" si="632"/>
        <v>-16800</v>
      </c>
      <c r="BY41" s="95">
        <f t="shared" si="632"/>
        <v>-21000</v>
      </c>
      <c r="BZ41" s="95">
        <f t="shared" si="632"/>
        <v>-25200</v>
      </c>
      <c r="CA41" s="95">
        <f t="shared" si="632"/>
        <v>-29400</v>
      </c>
      <c r="CB41" s="95">
        <f t="shared" si="632"/>
        <v>-33600</v>
      </c>
      <c r="CC41" s="95">
        <f t="shared" si="632"/>
        <v>-37800</v>
      </c>
      <c r="CD41" s="95">
        <f t="shared" si="632"/>
        <v>-42000</v>
      </c>
      <c r="CE41" s="95">
        <f t="shared" si="632"/>
        <v>-46200</v>
      </c>
      <c r="CF41" s="95">
        <f t="shared" si="632"/>
        <v>-50400</v>
      </c>
      <c r="CG41" s="95">
        <f t="shared" si="632"/>
        <v>-54600</v>
      </c>
      <c r="CH41" s="95">
        <f t="shared" si="632"/>
        <v>-58800</v>
      </c>
      <c r="CI41" s="95">
        <f t="shared" si="632"/>
        <v>-63000</v>
      </c>
      <c r="CJ41" s="95">
        <f t="shared" si="632"/>
        <v>-67200</v>
      </c>
      <c r="CK41" s="95">
        <f t="shared" si="632"/>
        <v>-71400</v>
      </c>
      <c r="CL41" s="95">
        <f t="shared" si="632"/>
        <v>-75600</v>
      </c>
      <c r="CM41" s="95">
        <f t="shared" si="632"/>
        <v>-79800</v>
      </c>
      <c r="CN41" s="95">
        <f t="shared" si="632"/>
        <v>-84000</v>
      </c>
      <c r="CO41" s="95">
        <f t="shared" si="632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33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34"/>
        <v>0</v>
      </c>
      <c r="DB41" s="62">
        <f t="shared" si="635"/>
        <v>0</v>
      </c>
      <c r="DC41" s="62">
        <f t="shared" si="636"/>
        <v>0</v>
      </c>
      <c r="DD41" s="102">
        <f t="shared" si="637"/>
        <v>0</v>
      </c>
      <c r="DE41" s="31">
        <v>0</v>
      </c>
      <c r="DF41" s="31">
        <v>90</v>
      </c>
      <c r="DG41" s="31">
        <v>0</v>
      </c>
      <c r="DH41" s="48">
        <f t="shared" si="638"/>
        <v>0</v>
      </c>
      <c r="DI41" s="62">
        <v>5681</v>
      </c>
      <c r="DJ41" s="62">
        <v>33906.089999999997</v>
      </c>
      <c r="DK41" s="48">
        <f t="shared" si="639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40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41"/>
        <v>0</v>
      </c>
      <c r="DV41" s="62">
        <v>0</v>
      </c>
      <c r="DW41" s="62">
        <v>0</v>
      </c>
      <c r="DX41" s="62">
        <f t="shared" si="642"/>
        <v>0</v>
      </c>
      <c r="DY41" s="62">
        <f t="shared" si="643"/>
        <v>0</v>
      </c>
      <c r="DZ41" s="48">
        <f t="shared" si="644"/>
        <v>0</v>
      </c>
      <c r="EA41" s="62">
        <f t="shared" si="645"/>
        <v>16200</v>
      </c>
      <c r="EB41" s="62">
        <f t="shared" si="646"/>
        <v>96714</v>
      </c>
      <c r="EC41" s="48">
        <f t="shared" si="647"/>
        <v>0</v>
      </c>
      <c r="ED41" s="62">
        <f t="shared" si="648"/>
        <v>0</v>
      </c>
      <c r="EE41" s="62">
        <f t="shared" si="649"/>
        <v>0</v>
      </c>
      <c r="EF41" s="48">
        <f t="shared" si="650"/>
        <v>0</v>
      </c>
      <c r="EG41" s="62">
        <f t="shared" si="651"/>
        <v>0</v>
      </c>
      <c r="EH41" s="62">
        <f t="shared" si="652"/>
        <v>0</v>
      </c>
      <c r="EI41" s="48">
        <f t="shared" si="653"/>
        <v>0</v>
      </c>
      <c r="EJ41" s="62">
        <f t="shared" si="654"/>
        <v>16200</v>
      </c>
      <c r="EK41" s="62">
        <f t="shared" si="655"/>
        <v>96714</v>
      </c>
      <c r="EL41" s="48">
        <f t="shared" si="656"/>
        <v>0</v>
      </c>
      <c r="EM41" s="62">
        <f t="shared" si="657"/>
        <v>5400</v>
      </c>
      <c r="EN41" s="62">
        <f t="shared" si="658"/>
        <v>32238</v>
      </c>
      <c r="EO41" s="48">
        <f t="shared" si="659"/>
        <v>0</v>
      </c>
      <c r="EP41" s="62">
        <f t="shared" si="660"/>
        <v>0</v>
      </c>
      <c r="EQ41" s="62">
        <f t="shared" si="660"/>
        <v>32238</v>
      </c>
      <c r="ER41" s="62">
        <f t="shared" si="660"/>
        <v>0</v>
      </c>
      <c r="ES41" s="62">
        <f t="shared" si="661"/>
        <v>0</v>
      </c>
      <c r="ET41" s="62">
        <f t="shared" si="661"/>
        <v>32238</v>
      </c>
      <c r="EU41" s="62">
        <f t="shared" si="661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62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 t="shared" si="57"/>
        <v>0</v>
      </c>
      <c r="FS41" s="103" t="b">
        <f t="shared" si="58"/>
        <v>0</v>
      </c>
      <c r="FT41" s="103" t="b">
        <f t="shared" si="59"/>
        <v>0</v>
      </c>
      <c r="FU41" s="103" t="b">
        <f t="shared" si="60"/>
        <v>0</v>
      </c>
      <c r="FV41" s="103" t="b">
        <f t="shared" si="61"/>
        <v>1</v>
      </c>
      <c r="FW41" s="104" t="b">
        <f t="shared" si="66"/>
        <v>0</v>
      </c>
      <c r="FX41" s="120" t="b">
        <f t="shared" si="663"/>
        <v>1</v>
      </c>
      <c r="FY41" s="104" t="s">
        <v>214</v>
      </c>
      <c r="FZ41" s="104" t="b">
        <f t="shared" si="664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65"/>
        <v>1</v>
      </c>
      <c r="GI41" s="8" t="b">
        <f t="shared" si="666"/>
        <v>0</v>
      </c>
    </row>
    <row r="42" spans="1:191" s="31" customFormat="1" hidden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8"/>
        <v>нет минмакс</v>
      </c>
      <c r="Q42" s="95">
        <v>0</v>
      </c>
      <c r="R42" s="95">
        <f t="shared" si="609"/>
        <v>0</v>
      </c>
      <c r="S42" s="112">
        <v>927</v>
      </c>
      <c r="T42" s="112">
        <v>5534.19</v>
      </c>
      <c r="U42" s="112">
        <f t="shared" si="610"/>
        <v>0</v>
      </c>
      <c r="V42" s="113">
        <f t="shared" si="611"/>
        <v>0</v>
      </c>
      <c r="W42" s="113">
        <f t="shared" si="612"/>
        <v>0</v>
      </c>
      <c r="X42" s="113">
        <f t="shared" si="613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14"/>
        <v>0</v>
      </c>
      <c r="AF42" s="95">
        <f t="shared" si="615"/>
        <v>0</v>
      </c>
      <c r="AG42" s="114">
        <v>0</v>
      </c>
      <c r="AH42" s="95">
        <f t="shared" si="616"/>
        <v>0</v>
      </c>
      <c r="AI42" s="115">
        <f t="shared" si="617"/>
        <v>0</v>
      </c>
      <c r="AJ42" s="95">
        <f t="shared" si="618"/>
        <v>0</v>
      </c>
      <c r="AK42" s="95">
        <f t="shared" si="667"/>
        <v>927</v>
      </c>
      <c r="AL42" s="95">
        <f t="shared" si="620"/>
        <v>5935</v>
      </c>
      <c r="AM42" s="95">
        <f t="shared" si="621"/>
        <v>12600</v>
      </c>
      <c r="AN42" s="95">
        <f t="shared" si="622"/>
        <v>6.6214285714285719</v>
      </c>
      <c r="AO42" s="95" t="str">
        <f t="shared" si="623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24"/>
        <v>нет остатка</v>
      </c>
      <c r="AW42" s="117">
        <f t="shared" si="625"/>
        <v>0</v>
      </c>
      <c r="AX42" s="118"/>
      <c r="AY42" s="25">
        <f t="shared" si="626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7"/>
        <v>0</v>
      </c>
      <c r="BG42" s="29">
        <v>0</v>
      </c>
      <c r="BH42" s="29">
        <f t="shared" si="628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9"/>
        <v>4200</v>
      </c>
      <c r="BR42" s="95">
        <f t="shared" si="630"/>
        <v>0</v>
      </c>
      <c r="BS42" s="95">
        <f t="shared" si="631"/>
        <v>-5400</v>
      </c>
      <c r="BT42" s="95">
        <f t="shared" si="631"/>
        <v>-5400</v>
      </c>
      <c r="BU42" s="95">
        <f t="shared" si="631"/>
        <v>-5400</v>
      </c>
      <c r="BV42" s="95">
        <f t="shared" si="631"/>
        <v>-10800</v>
      </c>
      <c r="BW42" s="95">
        <f t="shared" si="631"/>
        <v>-12600</v>
      </c>
      <c r="BX42" s="95">
        <f t="shared" si="632"/>
        <v>-16800</v>
      </c>
      <c r="BY42" s="95">
        <f t="shared" si="632"/>
        <v>-21000</v>
      </c>
      <c r="BZ42" s="95">
        <f t="shared" si="632"/>
        <v>-25200</v>
      </c>
      <c r="CA42" s="95">
        <f t="shared" si="632"/>
        <v>-29400</v>
      </c>
      <c r="CB42" s="95">
        <f t="shared" si="632"/>
        <v>-33600</v>
      </c>
      <c r="CC42" s="95">
        <f t="shared" si="632"/>
        <v>-37800</v>
      </c>
      <c r="CD42" s="95">
        <f t="shared" si="632"/>
        <v>-42000</v>
      </c>
      <c r="CE42" s="95">
        <f t="shared" si="632"/>
        <v>-46200</v>
      </c>
      <c r="CF42" s="95">
        <f t="shared" si="632"/>
        <v>-50400</v>
      </c>
      <c r="CG42" s="95">
        <f t="shared" si="632"/>
        <v>-54600</v>
      </c>
      <c r="CH42" s="95">
        <f t="shared" si="632"/>
        <v>-58800</v>
      </c>
      <c r="CI42" s="95">
        <f t="shared" si="632"/>
        <v>-63000</v>
      </c>
      <c r="CJ42" s="95">
        <f t="shared" si="632"/>
        <v>-67200</v>
      </c>
      <c r="CK42" s="95">
        <f t="shared" si="632"/>
        <v>-71400</v>
      </c>
      <c r="CL42" s="95">
        <f t="shared" si="632"/>
        <v>-75600</v>
      </c>
      <c r="CM42" s="95">
        <f t="shared" si="632"/>
        <v>-79800</v>
      </c>
      <c r="CN42" s="95">
        <f t="shared" si="632"/>
        <v>-84000</v>
      </c>
      <c r="CO42" s="95">
        <f t="shared" si="632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33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34"/>
        <v>0</v>
      </c>
      <c r="DB42" s="62">
        <f t="shared" si="635"/>
        <v>0</v>
      </c>
      <c r="DC42" s="62">
        <f t="shared" si="636"/>
        <v>0</v>
      </c>
      <c r="DD42" s="102">
        <f t="shared" si="637"/>
        <v>0</v>
      </c>
      <c r="DE42" s="31">
        <v>0</v>
      </c>
      <c r="DF42" s="31">
        <v>90</v>
      </c>
      <c r="DG42" s="31">
        <v>0</v>
      </c>
      <c r="DH42" s="48">
        <f t="shared" si="638"/>
        <v>0</v>
      </c>
      <c r="DI42" s="62">
        <v>5664</v>
      </c>
      <c r="DJ42" s="62">
        <v>33805.9</v>
      </c>
      <c r="DK42" s="48">
        <f t="shared" si="639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40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41"/>
        <v>0</v>
      </c>
      <c r="DV42" s="62">
        <v>0</v>
      </c>
      <c r="DW42" s="62">
        <v>0</v>
      </c>
      <c r="DX42" s="62">
        <f t="shared" si="642"/>
        <v>0</v>
      </c>
      <c r="DY42" s="62">
        <f t="shared" si="643"/>
        <v>0</v>
      </c>
      <c r="DZ42" s="48">
        <f t="shared" si="644"/>
        <v>0</v>
      </c>
      <c r="EA42" s="62">
        <f t="shared" si="645"/>
        <v>16200</v>
      </c>
      <c r="EB42" s="62">
        <f t="shared" si="646"/>
        <v>96714</v>
      </c>
      <c r="EC42" s="48">
        <f t="shared" si="647"/>
        <v>0</v>
      </c>
      <c r="ED42" s="62">
        <f t="shared" si="648"/>
        <v>0</v>
      </c>
      <c r="EE42" s="62">
        <f t="shared" si="649"/>
        <v>0</v>
      </c>
      <c r="EF42" s="48">
        <f t="shared" si="650"/>
        <v>0</v>
      </c>
      <c r="EG42" s="62">
        <f t="shared" si="651"/>
        <v>0</v>
      </c>
      <c r="EH42" s="62">
        <f t="shared" si="652"/>
        <v>0</v>
      </c>
      <c r="EI42" s="48">
        <f t="shared" si="653"/>
        <v>0</v>
      </c>
      <c r="EJ42" s="62">
        <f t="shared" si="654"/>
        <v>16200</v>
      </c>
      <c r="EK42" s="62">
        <f t="shared" si="655"/>
        <v>96714</v>
      </c>
      <c r="EL42" s="48">
        <f t="shared" si="656"/>
        <v>0</v>
      </c>
      <c r="EM42" s="62">
        <f t="shared" si="657"/>
        <v>5400</v>
      </c>
      <c r="EN42" s="62">
        <f t="shared" si="658"/>
        <v>32238</v>
      </c>
      <c r="EO42" s="48">
        <f t="shared" si="659"/>
        <v>0</v>
      </c>
      <c r="EP42" s="62">
        <f t="shared" si="660"/>
        <v>0</v>
      </c>
      <c r="EQ42" s="62">
        <f t="shared" si="660"/>
        <v>32238</v>
      </c>
      <c r="ER42" s="62">
        <f t="shared" si="660"/>
        <v>0</v>
      </c>
      <c r="ES42" s="62">
        <f t="shared" si="661"/>
        <v>0</v>
      </c>
      <c r="ET42" s="62">
        <f t="shared" si="661"/>
        <v>32238</v>
      </c>
      <c r="EU42" s="62">
        <f t="shared" si="661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62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 t="shared" si="57"/>
        <v>0</v>
      </c>
      <c r="FS42" s="103" t="b">
        <f t="shared" si="58"/>
        <v>0</v>
      </c>
      <c r="FT42" s="103" t="b">
        <f t="shared" si="59"/>
        <v>0</v>
      </c>
      <c r="FU42" s="103" t="b">
        <f t="shared" si="60"/>
        <v>0</v>
      </c>
      <c r="FV42" s="103" t="b">
        <f t="shared" si="61"/>
        <v>1</v>
      </c>
      <c r="FW42" s="104" t="b">
        <f t="shared" si="66"/>
        <v>0</v>
      </c>
      <c r="FX42" s="120" t="b">
        <f t="shared" si="663"/>
        <v>1</v>
      </c>
      <c r="FY42" s="104" t="s">
        <v>214</v>
      </c>
      <c r="FZ42" s="104" t="b">
        <f t="shared" si="664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65"/>
        <v>1</v>
      </c>
      <c r="GI42" s="8" t="b">
        <f t="shared" si="666"/>
        <v>0</v>
      </c>
    </row>
    <row r="43" spans="1:191" s="31" customFormat="1" ht="45" hidden="1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8"/>
        <v>нет минмакс</v>
      </c>
      <c r="Q43" s="95">
        <v>34</v>
      </c>
      <c r="R43" s="95">
        <f t="shared" si="609"/>
        <v>795756.74</v>
      </c>
      <c r="S43" s="94">
        <v>34</v>
      </c>
      <c r="T43" s="94">
        <v>795756.74</v>
      </c>
      <c r="U43" s="94">
        <f t="shared" si="610"/>
        <v>13.5</v>
      </c>
      <c r="V43" s="94">
        <f t="shared" si="611"/>
        <v>34</v>
      </c>
      <c r="W43" s="94">
        <f t="shared" si="612"/>
        <v>795756.74</v>
      </c>
      <c r="X43" s="94">
        <f t="shared" si="613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14"/>
        <v>0</v>
      </c>
      <c r="AF43" s="95">
        <f t="shared" si="615"/>
        <v>0</v>
      </c>
      <c r="AG43" s="96">
        <v>0</v>
      </c>
      <c r="AH43" s="95">
        <f t="shared" si="616"/>
        <v>34</v>
      </c>
      <c r="AI43" s="94">
        <f t="shared" si="617"/>
        <v>795756.74</v>
      </c>
      <c r="AJ43" s="94">
        <f t="shared" si="618"/>
        <v>0</v>
      </c>
      <c r="AK43" s="94">
        <f t="shared" si="667"/>
        <v>0</v>
      </c>
      <c r="AL43" s="94">
        <f t="shared" si="620"/>
        <v>30</v>
      </c>
      <c r="AM43" s="94">
        <f t="shared" si="621"/>
        <v>200</v>
      </c>
      <c r="AN43" s="94">
        <f t="shared" si="622"/>
        <v>25.5</v>
      </c>
      <c r="AO43" s="94" t="str">
        <f t="shared" si="623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24"/>
        <v>0-02</v>
      </c>
      <c r="AW43" s="98">
        <f t="shared" si="625"/>
        <v>795756.74</v>
      </c>
      <c r="AX43" s="14">
        <f>MONTH(BC43)-6</f>
        <v>3</v>
      </c>
      <c r="AY43" s="94">
        <f t="shared" si="626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7"/>
        <v>0</v>
      </c>
      <c r="BG43" s="29">
        <v>0</v>
      </c>
      <c r="BH43" s="29">
        <f t="shared" si="628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9"/>
        <v>40</v>
      </c>
      <c r="BR43" s="95">
        <f t="shared" si="630"/>
        <v>34</v>
      </c>
      <c r="BS43" s="95">
        <f t="shared" si="631"/>
        <v>-6</v>
      </c>
      <c r="BT43" s="95">
        <f t="shared" si="631"/>
        <v>-46</v>
      </c>
      <c r="BU43" s="95">
        <f t="shared" si="631"/>
        <v>-86</v>
      </c>
      <c r="BV43" s="95">
        <f t="shared" si="631"/>
        <v>-126</v>
      </c>
      <c r="BW43" s="95">
        <f t="shared" si="631"/>
        <v>-166</v>
      </c>
      <c r="BX43" s="95">
        <f t="shared" si="632"/>
        <v>-206</v>
      </c>
      <c r="BY43" s="95">
        <f t="shared" si="632"/>
        <v>-246</v>
      </c>
      <c r="BZ43" s="95">
        <f t="shared" si="632"/>
        <v>-286</v>
      </c>
      <c r="CA43" s="95">
        <f t="shared" si="632"/>
        <v>-326</v>
      </c>
      <c r="CB43" s="95">
        <f t="shared" si="632"/>
        <v>-366</v>
      </c>
      <c r="CC43" s="95">
        <f t="shared" si="632"/>
        <v>-406</v>
      </c>
      <c r="CD43" s="95">
        <f t="shared" si="632"/>
        <v>-446</v>
      </c>
      <c r="CE43" s="95">
        <f t="shared" si="632"/>
        <v>-486</v>
      </c>
      <c r="CF43" s="95">
        <f t="shared" si="632"/>
        <v>-526</v>
      </c>
      <c r="CG43" s="95">
        <f t="shared" si="632"/>
        <v>-566</v>
      </c>
      <c r="CH43" s="95">
        <f t="shared" si="632"/>
        <v>-606</v>
      </c>
      <c r="CI43" s="95">
        <f t="shared" si="632"/>
        <v>-646</v>
      </c>
      <c r="CJ43" s="95">
        <f t="shared" si="632"/>
        <v>-686</v>
      </c>
      <c r="CK43" s="95">
        <f t="shared" si="632"/>
        <v>-726</v>
      </c>
      <c r="CL43" s="95">
        <f t="shared" si="632"/>
        <v>-766</v>
      </c>
      <c r="CM43" s="95">
        <f t="shared" si="632"/>
        <v>-806</v>
      </c>
      <c r="CN43" s="95">
        <f t="shared" si="632"/>
        <v>-846</v>
      </c>
      <c r="CO43" s="95">
        <f t="shared" si="632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33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34"/>
        <v>0</v>
      </c>
      <c r="DB43" s="62">
        <f t="shared" si="635"/>
        <v>561710.64</v>
      </c>
      <c r="DC43" s="62">
        <f t="shared" si="636"/>
        <v>0</v>
      </c>
      <c r="DD43" s="102">
        <f t="shared" si="637"/>
        <v>0</v>
      </c>
      <c r="DE43" s="31">
        <v>0</v>
      </c>
      <c r="DG43" s="31">
        <v>0</v>
      </c>
      <c r="DH43" s="48">
        <f t="shared" si="638"/>
        <v>0</v>
      </c>
      <c r="DI43" s="62">
        <v>34</v>
      </c>
      <c r="DJ43" s="62">
        <v>795756.84000000008</v>
      </c>
      <c r="DK43" s="48">
        <f t="shared" si="639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40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41"/>
        <v>13.5</v>
      </c>
      <c r="DV43" s="62">
        <v>0</v>
      </c>
      <c r="DW43" s="62">
        <v>0</v>
      </c>
      <c r="DX43" s="62">
        <f t="shared" si="642"/>
        <v>0</v>
      </c>
      <c r="DY43" s="62">
        <f t="shared" si="643"/>
        <v>0</v>
      </c>
      <c r="DZ43" s="48">
        <f t="shared" si="644"/>
        <v>0</v>
      </c>
      <c r="EA43" s="62">
        <f t="shared" si="645"/>
        <v>0</v>
      </c>
      <c r="EB43" s="62">
        <f t="shared" si="646"/>
        <v>0</v>
      </c>
      <c r="EC43" s="48">
        <f t="shared" si="647"/>
        <v>0</v>
      </c>
      <c r="ED43" s="62">
        <f t="shared" si="648"/>
        <v>0</v>
      </c>
      <c r="EE43" s="62">
        <f t="shared" si="649"/>
        <v>0</v>
      </c>
      <c r="EF43" s="48">
        <f t="shared" si="650"/>
        <v>0</v>
      </c>
      <c r="EG43" s="62">
        <f t="shared" si="651"/>
        <v>0</v>
      </c>
      <c r="EH43" s="62">
        <f t="shared" si="652"/>
        <v>0</v>
      </c>
      <c r="EI43" s="48">
        <f t="shared" si="653"/>
        <v>0</v>
      </c>
      <c r="EJ43" s="62">
        <f t="shared" si="654"/>
        <v>0</v>
      </c>
      <c r="EK43" s="62">
        <f t="shared" si="655"/>
        <v>0</v>
      </c>
      <c r="EL43" s="48">
        <f t="shared" si="656"/>
        <v>0</v>
      </c>
      <c r="EM43" s="62">
        <f t="shared" si="657"/>
        <v>0</v>
      </c>
      <c r="EN43" s="62">
        <f t="shared" si="658"/>
        <v>0</v>
      </c>
      <c r="EO43" s="48">
        <f t="shared" si="659"/>
        <v>0</v>
      </c>
      <c r="EP43" s="62">
        <f t="shared" si="660"/>
        <v>0</v>
      </c>
      <c r="EQ43" s="62">
        <f t="shared" si="660"/>
        <v>936184.4</v>
      </c>
      <c r="ER43" s="62">
        <f t="shared" si="660"/>
        <v>936184.4</v>
      </c>
      <c r="ES43" s="62">
        <f t="shared" si="661"/>
        <v>936184.4</v>
      </c>
      <c r="ET43" s="62">
        <f t="shared" si="661"/>
        <v>936184.4</v>
      </c>
      <c r="EU43" s="62">
        <f t="shared" si="661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62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 t="shared" si="57"/>
        <v>1</v>
      </c>
      <c r="FS43" s="104" t="b">
        <f t="shared" si="58"/>
        <v>1</v>
      </c>
      <c r="FT43" s="104" t="b">
        <f t="shared" si="59"/>
        <v>1</v>
      </c>
      <c r="FU43" s="104" t="b">
        <f t="shared" si="60"/>
        <v>0</v>
      </c>
      <c r="FV43" s="104" t="b">
        <f t="shared" si="61"/>
        <v>1</v>
      </c>
      <c r="FW43" s="104" t="b">
        <f t="shared" si="66"/>
        <v>0</v>
      </c>
      <c r="FX43" s="104" t="b">
        <f t="shared" si="663"/>
        <v>1</v>
      </c>
      <c r="FY43" s="104" t="s">
        <v>214</v>
      </c>
      <c r="FZ43" s="104" t="b">
        <f t="shared" si="664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65"/>
        <v>1</v>
      </c>
      <c r="GI43" s="108" t="b">
        <f t="shared" si="666"/>
        <v>0</v>
      </c>
    </row>
    <row r="44" spans="1:191" s="31" customFormat="1" hidden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8"/>
        <v>нет минмакс</v>
      </c>
      <c r="Q44" s="95">
        <v>0</v>
      </c>
      <c r="R44" s="95">
        <f t="shared" si="609"/>
        <v>0</v>
      </c>
      <c r="S44" s="112">
        <v>0</v>
      </c>
      <c r="T44" s="112">
        <v>0</v>
      </c>
      <c r="U44" s="112">
        <f t="shared" si="610"/>
        <v>0</v>
      </c>
      <c r="V44" s="113">
        <f t="shared" si="611"/>
        <v>0</v>
      </c>
      <c r="W44" s="113">
        <f t="shared" si="612"/>
        <v>0</v>
      </c>
      <c r="X44" s="113">
        <f t="shared" si="613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14"/>
        <v>0</v>
      </c>
      <c r="AF44" s="95">
        <f t="shared" si="615"/>
        <v>0</v>
      </c>
      <c r="AG44" s="114">
        <v>0</v>
      </c>
      <c r="AH44" s="95">
        <f t="shared" si="616"/>
        <v>0</v>
      </c>
      <c r="AI44" s="115">
        <f t="shared" si="617"/>
        <v>0</v>
      </c>
      <c r="AJ44" s="95">
        <f t="shared" si="618"/>
        <v>0</v>
      </c>
      <c r="AK44" s="95">
        <f t="shared" si="667"/>
        <v>0</v>
      </c>
      <c r="AL44" s="95">
        <f t="shared" si="620"/>
        <v>71</v>
      </c>
      <c r="AM44" s="95">
        <f t="shared" si="621"/>
        <v>226</v>
      </c>
      <c r="AN44" s="95">
        <f t="shared" si="622"/>
        <v>0</v>
      </c>
      <c r="AO44" s="95" t="str">
        <f t="shared" si="623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24"/>
        <v>нет остатка</v>
      </c>
      <c r="AW44" s="117">
        <f t="shared" si="625"/>
        <v>0</v>
      </c>
      <c r="AX44" s="118"/>
      <c r="AY44" s="25">
        <f t="shared" si="626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7"/>
        <v>0</v>
      </c>
      <c r="BG44" s="29">
        <v>0</v>
      </c>
      <c r="BH44" s="29">
        <f t="shared" si="628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9"/>
        <v>56.5</v>
      </c>
      <c r="BR44" s="95">
        <f t="shared" si="630"/>
        <v>0</v>
      </c>
      <c r="BS44" s="95">
        <f t="shared" si="631"/>
        <v>-62</v>
      </c>
      <c r="BT44" s="95">
        <f t="shared" si="631"/>
        <v>-62</v>
      </c>
      <c r="BU44" s="95">
        <f t="shared" si="631"/>
        <v>-124</v>
      </c>
      <c r="BV44" s="95">
        <f t="shared" si="631"/>
        <v>-186</v>
      </c>
      <c r="BW44" s="95">
        <f t="shared" si="631"/>
        <v>-226</v>
      </c>
      <c r="BX44" s="95">
        <f t="shared" si="632"/>
        <v>-282.5</v>
      </c>
      <c r="BY44" s="95">
        <f t="shared" si="632"/>
        <v>-339</v>
      </c>
      <c r="BZ44" s="95">
        <f t="shared" si="632"/>
        <v>-395.5</v>
      </c>
      <c r="CA44" s="95">
        <f t="shared" si="632"/>
        <v>-452</v>
      </c>
      <c r="CB44" s="95">
        <f t="shared" si="632"/>
        <v>-508.5</v>
      </c>
      <c r="CC44" s="95">
        <f t="shared" si="632"/>
        <v>-565</v>
      </c>
      <c r="CD44" s="95">
        <f t="shared" si="632"/>
        <v>-621.5</v>
      </c>
      <c r="CE44" s="95">
        <f t="shared" si="632"/>
        <v>-678</v>
      </c>
      <c r="CF44" s="95">
        <f t="shared" si="632"/>
        <v>-734.5</v>
      </c>
      <c r="CG44" s="95">
        <f t="shared" si="632"/>
        <v>-791</v>
      </c>
      <c r="CH44" s="95">
        <f t="shared" si="632"/>
        <v>-847.5</v>
      </c>
      <c r="CI44" s="95">
        <f t="shared" si="632"/>
        <v>-904</v>
      </c>
      <c r="CJ44" s="95">
        <f t="shared" si="632"/>
        <v>-960.5</v>
      </c>
      <c r="CK44" s="95">
        <f t="shared" si="632"/>
        <v>-1017</v>
      </c>
      <c r="CL44" s="95">
        <f t="shared" si="632"/>
        <v>-1073.5</v>
      </c>
      <c r="CM44" s="95">
        <f t="shared" si="632"/>
        <v>-1130</v>
      </c>
      <c r="CN44" s="95">
        <f t="shared" si="632"/>
        <v>-1186.5</v>
      </c>
      <c r="CO44" s="95">
        <f t="shared" si="632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33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34"/>
        <v>0</v>
      </c>
      <c r="DB44" s="62">
        <f t="shared" si="635"/>
        <v>0</v>
      </c>
      <c r="DC44" s="62">
        <f t="shared" si="636"/>
        <v>0</v>
      </c>
      <c r="DD44" s="102">
        <f t="shared" si="637"/>
        <v>0</v>
      </c>
      <c r="DE44" s="31">
        <v>0</v>
      </c>
      <c r="DF44" s="31">
        <v>90</v>
      </c>
      <c r="DG44" s="31">
        <v>0</v>
      </c>
      <c r="DH44" s="48">
        <f t="shared" si="638"/>
        <v>0</v>
      </c>
      <c r="DI44" s="62">
        <v>0</v>
      </c>
      <c r="DJ44" s="62">
        <v>0</v>
      </c>
      <c r="DK44" s="48">
        <f t="shared" si="639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40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41"/>
        <v>0</v>
      </c>
      <c r="DV44" s="62">
        <v>0</v>
      </c>
      <c r="DW44" s="62">
        <v>0</v>
      </c>
      <c r="DX44" s="62">
        <f t="shared" si="642"/>
        <v>0</v>
      </c>
      <c r="DY44" s="62">
        <f t="shared" si="643"/>
        <v>0</v>
      </c>
      <c r="DZ44" s="48">
        <f t="shared" si="644"/>
        <v>0</v>
      </c>
      <c r="EA44" s="62">
        <f t="shared" si="645"/>
        <v>186</v>
      </c>
      <c r="EB44" s="62">
        <f t="shared" si="646"/>
        <v>9852.42</v>
      </c>
      <c r="EC44" s="48">
        <f t="shared" si="647"/>
        <v>0</v>
      </c>
      <c r="ED44" s="62">
        <f t="shared" si="648"/>
        <v>0</v>
      </c>
      <c r="EE44" s="62">
        <f t="shared" si="649"/>
        <v>0</v>
      </c>
      <c r="EF44" s="48">
        <f t="shared" si="650"/>
        <v>0</v>
      </c>
      <c r="EG44" s="62">
        <f t="shared" si="651"/>
        <v>186</v>
      </c>
      <c r="EH44" s="62">
        <f t="shared" si="652"/>
        <v>9852.42</v>
      </c>
      <c r="EI44" s="48">
        <f t="shared" si="653"/>
        <v>0</v>
      </c>
      <c r="EJ44" s="62">
        <f t="shared" si="654"/>
        <v>186</v>
      </c>
      <c r="EK44" s="62">
        <f t="shared" si="655"/>
        <v>9852.42</v>
      </c>
      <c r="EL44" s="48">
        <f t="shared" si="656"/>
        <v>0</v>
      </c>
      <c r="EM44" s="62">
        <f t="shared" si="657"/>
        <v>120</v>
      </c>
      <c r="EN44" s="62">
        <f t="shared" si="658"/>
        <v>6356.4</v>
      </c>
      <c r="EO44" s="48">
        <f t="shared" si="659"/>
        <v>0</v>
      </c>
      <c r="EP44" s="62">
        <f t="shared" si="660"/>
        <v>0</v>
      </c>
      <c r="EQ44" s="62">
        <f t="shared" si="660"/>
        <v>3284.14</v>
      </c>
      <c r="ER44" s="62">
        <f t="shared" si="660"/>
        <v>0</v>
      </c>
      <c r="ES44" s="62">
        <f t="shared" si="661"/>
        <v>3284.14</v>
      </c>
      <c r="ET44" s="62">
        <f t="shared" si="661"/>
        <v>3284.14</v>
      </c>
      <c r="EU44" s="62">
        <f t="shared" si="661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62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 t="shared" si="57"/>
        <v>0</v>
      </c>
      <c r="FS44" s="103" t="b">
        <f t="shared" si="58"/>
        <v>0</v>
      </c>
      <c r="FT44" s="103" t="b">
        <f t="shared" si="59"/>
        <v>0</v>
      </c>
      <c r="FU44" s="103" t="b">
        <f t="shared" si="60"/>
        <v>0</v>
      </c>
      <c r="FV44" s="103" t="b">
        <f t="shared" si="61"/>
        <v>1</v>
      </c>
      <c r="FW44" s="104" t="b">
        <f t="shared" si="66"/>
        <v>0</v>
      </c>
      <c r="FX44" s="120" t="b">
        <f t="shared" si="663"/>
        <v>1</v>
      </c>
      <c r="FY44" s="104" t="s">
        <v>214</v>
      </c>
      <c r="FZ44" s="104" t="b">
        <f t="shared" si="664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65"/>
        <v>1</v>
      </c>
      <c r="GI44" s="8" t="b">
        <f t="shared" si="666"/>
        <v>0</v>
      </c>
    </row>
    <row r="45" spans="1:191" s="31" customFormat="1" ht="60" hidden="1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8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9">Q45*FH45</f>
        <v>694886.40000000002</v>
      </c>
      <c r="S45" s="94">
        <v>5952</v>
      </c>
      <c r="T45" s="94">
        <v>718049.28000000003</v>
      </c>
      <c r="U45" s="94">
        <f t="shared" ref="U45:U50" si="670">IFERROR(ROUNDUP(S45/$EX45,0)*$EY45,0)</f>
        <v>10</v>
      </c>
      <c r="V45" s="94">
        <f t="shared" ref="V45:V50" si="671">SUM(Z45:AD45)</f>
        <v>5472</v>
      </c>
      <c r="W45" s="94">
        <f t="shared" ref="W45:W50" si="672">V45*FH45</f>
        <v>660142.07999999996</v>
      </c>
      <c r="X45" s="94">
        <f t="shared" ref="X45:X50" si="673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74">AA45*FH45</f>
        <v>0</v>
      </c>
      <c r="AF45" s="95">
        <f t="shared" ref="AF45:AF50" si="675">AB45*FH45</f>
        <v>0</v>
      </c>
      <c r="AG45" s="96">
        <v>168</v>
      </c>
      <c r="AH45" s="95">
        <f t="shared" ref="AH45:AH50" si="676">V45-AG45</f>
        <v>5304</v>
      </c>
      <c r="AI45" s="94">
        <f t="shared" ref="AI45:AI50" si="677">IF(AH45&gt;0,AH45*FH45,0)</f>
        <v>639874.56000000006</v>
      </c>
      <c r="AJ45" s="94">
        <f t="shared" ref="AJ45:AJ50" si="678">CU45</f>
        <v>60</v>
      </c>
      <c r="AK45" s="94">
        <f t="shared" ref="AK45:AK50" si="679">SUM(CS45:CU45)</f>
        <v>480</v>
      </c>
      <c r="AL45" s="94">
        <f t="shared" ref="AL45:AL50" si="680">SUM(CP45:CU45)</f>
        <v>852</v>
      </c>
      <c r="AM45" s="94">
        <f t="shared" ref="AM45:AM50" si="681">SUM(BK45:BP45)</f>
        <v>4500</v>
      </c>
      <c r="AN45" s="94">
        <f t="shared" ref="AN45:AN50" si="682">IFERROR(S45/BQ45*30,"нет оборота")</f>
        <v>119.03999999999999</v>
      </c>
      <c r="AO45" s="94" t="str">
        <f t="shared" ref="AO45:AO50" si="683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84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85">IF(AT45="Да",W45,0)</f>
        <v>660142.07999999996</v>
      </c>
      <c r="AX45" s="14">
        <f>MONTH(BC45)-6</f>
        <v>3</v>
      </c>
      <c r="AY45" s="94">
        <f t="shared" ref="AY45:AY50" si="686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7">BE45*FH45</f>
        <v>0</v>
      </c>
      <c r="BG45" s="29">
        <v>0</v>
      </c>
      <c r="BH45" s="29">
        <f t="shared" ref="BH45:BH50" si="688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9">IF(COUNTIF(BK45:BP45,"&gt;0")=0,0,SUM(BK45:BP45)/COUNTIF(BK45:BP45,"&gt;0"))</f>
        <v>1500</v>
      </c>
      <c r="BR45" s="95">
        <f t="shared" ref="BR45:BR50" si="690">IF(OR(Q45=0,SUM(BK45:BP45)=0,V45&gt;Q45),V45-BK45,Q45-BK45)</f>
        <v>4260</v>
      </c>
      <c r="BS45" s="95">
        <f t="shared" ref="BS45:BW50" si="691">BR45-BL45</f>
        <v>4260</v>
      </c>
      <c r="BT45" s="95">
        <f t="shared" si="691"/>
        <v>4260</v>
      </c>
      <c r="BU45" s="95">
        <f t="shared" si="691"/>
        <v>2760</v>
      </c>
      <c r="BV45" s="95">
        <f t="shared" si="691"/>
        <v>2760</v>
      </c>
      <c r="BW45" s="95">
        <f t="shared" si="691"/>
        <v>1260</v>
      </c>
      <c r="BX45" s="95">
        <f t="shared" ref="BX45:CO48" si="692">BW45-$BQ45</f>
        <v>-240</v>
      </c>
      <c r="BY45" s="95">
        <f t="shared" si="692"/>
        <v>-1740</v>
      </c>
      <c r="BZ45" s="95">
        <f t="shared" si="692"/>
        <v>-3240</v>
      </c>
      <c r="CA45" s="95">
        <f t="shared" si="692"/>
        <v>-4740</v>
      </c>
      <c r="CB45" s="95">
        <f t="shared" si="692"/>
        <v>-6240</v>
      </c>
      <c r="CC45" s="95">
        <f t="shared" si="692"/>
        <v>-7740</v>
      </c>
      <c r="CD45" s="95">
        <f t="shared" si="692"/>
        <v>-9240</v>
      </c>
      <c r="CE45" s="95">
        <f t="shared" si="692"/>
        <v>-10740</v>
      </c>
      <c r="CF45" s="95">
        <f t="shared" si="692"/>
        <v>-12240</v>
      </c>
      <c r="CG45" s="95">
        <f t="shared" si="692"/>
        <v>-13740</v>
      </c>
      <c r="CH45" s="95">
        <f t="shared" si="692"/>
        <v>-15240</v>
      </c>
      <c r="CI45" s="95">
        <f t="shared" si="692"/>
        <v>-16740</v>
      </c>
      <c r="CJ45" s="95">
        <f t="shared" si="692"/>
        <v>-18240</v>
      </c>
      <c r="CK45" s="95">
        <f t="shared" si="692"/>
        <v>-19740</v>
      </c>
      <c r="CL45" s="95">
        <f t="shared" si="692"/>
        <v>-21240</v>
      </c>
      <c r="CM45" s="95">
        <f t="shared" si="692"/>
        <v>-22740</v>
      </c>
      <c r="CN45" s="95">
        <f t="shared" si="692"/>
        <v>-24240</v>
      </c>
      <c r="CO45" s="95">
        <f t="shared" si="692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93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94">IFERROR(CZ45/CY45,0)</f>
        <v>0</v>
      </c>
      <c r="DB45" s="62">
        <f t="shared" ref="DB45:DB50" si="695">CY45*FH45</f>
        <v>0</v>
      </c>
      <c r="DC45" s="62">
        <f t="shared" ref="DC45:DC50" si="696">CZ45*FH45</f>
        <v>33296.639999999999</v>
      </c>
      <c r="DD45" s="102">
        <f t="shared" ref="DD45:DD50" si="697">IFERROR(DC45/DB45,0)</f>
        <v>0</v>
      </c>
      <c r="DE45" s="31">
        <v>0</v>
      </c>
      <c r="DG45" s="31">
        <v>0</v>
      </c>
      <c r="DH45" s="48">
        <f t="shared" ref="DH45:DH50" si="698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9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700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701">IFERROR(ROUNDUP(DS45/$EX45,0)*$EY45,0)</f>
        <v>11</v>
      </c>
      <c r="DV45" s="62">
        <v>276</v>
      </c>
      <c r="DW45" s="62">
        <v>33296.714991820962</v>
      </c>
      <c r="DX45" s="62">
        <f t="shared" ref="DX45:DX50" si="702">$DF45*BK45/30</f>
        <v>0</v>
      </c>
      <c r="DY45" s="62">
        <f t="shared" ref="DY45:DY50" si="703">DX45*$FH45</f>
        <v>0</v>
      </c>
      <c r="DZ45" s="48">
        <f t="shared" ref="DZ45:DZ50" si="704">IFERROR(ROUNDUP(DX45/$EX45,0)*$EY45,0)</f>
        <v>0</v>
      </c>
      <c r="EA45" s="62">
        <f t="shared" ref="EA45:EA50" si="705">$DF45*BL45/30</f>
        <v>0</v>
      </c>
      <c r="EB45" s="62">
        <f t="shared" ref="EB45:EB50" si="706">EA45*$FH45</f>
        <v>0</v>
      </c>
      <c r="EC45" s="48">
        <f t="shared" ref="EC45:EC50" si="707">IFERROR(ROUNDUP(EA45/$EX45,0)*$EY45,0)</f>
        <v>0</v>
      </c>
      <c r="ED45" s="62">
        <f t="shared" ref="ED45:ED50" si="708">$DF45*BM45/30</f>
        <v>0</v>
      </c>
      <c r="EE45" s="62">
        <f t="shared" ref="EE45:EE50" si="709">ED45*$FH45</f>
        <v>0</v>
      </c>
      <c r="EF45" s="48">
        <f t="shared" ref="EF45:EF50" si="710">IFERROR(ROUNDUP(ED45/$EX45,0)*$EY45,0)</f>
        <v>0</v>
      </c>
      <c r="EG45" s="62">
        <f t="shared" ref="EG45:EG50" si="711">$DF45*BN45/30</f>
        <v>0</v>
      </c>
      <c r="EH45" s="62">
        <f t="shared" ref="EH45:EH50" si="712">EG45*$FH45</f>
        <v>0</v>
      </c>
      <c r="EI45" s="48">
        <f t="shared" ref="EI45:EI50" si="713">IFERROR(ROUNDUP(EG45/$EX45,0)*$EY45,0)</f>
        <v>0</v>
      </c>
      <c r="EJ45" s="62">
        <f t="shared" ref="EJ45:EJ50" si="714">$DF45*BO45/30</f>
        <v>0</v>
      </c>
      <c r="EK45" s="62">
        <f t="shared" ref="EK45:EK50" si="715">EJ45*$FH45</f>
        <v>0</v>
      </c>
      <c r="EL45" s="48">
        <f t="shared" ref="EL45:EL50" si="716">IFERROR(ROUNDUP(EJ45/$EX45,0)*$EY45,0)</f>
        <v>0</v>
      </c>
      <c r="EM45" s="62">
        <f t="shared" ref="EM45:EM50" si="717">$DF45*BP45/30</f>
        <v>0</v>
      </c>
      <c r="EN45" s="62">
        <f t="shared" ref="EN45:EN50" si="718">EM45*$FH45</f>
        <v>0</v>
      </c>
      <c r="EO45" s="48">
        <f t="shared" ref="EO45:EO50" si="719">IFERROR(ROUNDUP(EM45/$EX45,0)*$EY45,0)</f>
        <v>0</v>
      </c>
      <c r="EP45" s="62">
        <f t="shared" ref="EP45:EU48" si="720">BK45*$FH45</f>
        <v>180960</v>
      </c>
      <c r="EQ45" s="62">
        <f t="shared" si="720"/>
        <v>0</v>
      </c>
      <c r="ER45" s="62">
        <f t="shared" si="720"/>
        <v>0</v>
      </c>
      <c r="ES45" s="62">
        <f t="shared" si="720"/>
        <v>180960</v>
      </c>
      <c r="ET45" s="62">
        <f t="shared" si="720"/>
        <v>0</v>
      </c>
      <c r="EU45" s="62">
        <f t="shared" si="720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21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 t="shared" si="57"/>
        <v>1</v>
      </c>
      <c r="FS45" s="104" t="b">
        <f t="shared" si="58"/>
        <v>1</v>
      </c>
      <c r="FT45" s="104" t="b">
        <f t="shared" si="59"/>
        <v>1</v>
      </c>
      <c r="FU45" s="104" t="b">
        <f t="shared" si="60"/>
        <v>1</v>
      </c>
      <c r="FV45" s="104" t="b">
        <f t="shared" si="61"/>
        <v>1</v>
      </c>
      <c r="FW45" s="104" t="b">
        <f t="shared" si="66"/>
        <v>0</v>
      </c>
      <c r="FX45" s="104" t="b">
        <f t="shared" ref="FX45:FX50" si="722">EXACT(FQ45,BI45)</f>
        <v>1</v>
      </c>
      <c r="FY45" s="104" t="s">
        <v>214</v>
      </c>
      <c r="FZ45" s="104" t="b">
        <f t="shared" ref="FZ45:FZ50" si="723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24">EXACT(GD45,C45)</f>
        <v>1</v>
      </c>
      <c r="GI45" s="108" t="b">
        <f t="shared" ref="GI45:GI50" si="725">EXACT(GG45,G45)</f>
        <v>0</v>
      </c>
    </row>
    <row r="46" spans="1:191" s="31" customFormat="1" hidden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8"/>
        <v>нет минмакс</v>
      </c>
      <c r="Q46" s="95">
        <v>0</v>
      </c>
      <c r="R46" s="95">
        <f t="shared" si="669"/>
        <v>0</v>
      </c>
      <c r="S46" s="112">
        <v>0</v>
      </c>
      <c r="T46" s="112">
        <v>0</v>
      </c>
      <c r="U46" s="112">
        <f t="shared" si="670"/>
        <v>0</v>
      </c>
      <c r="V46" s="113">
        <f t="shared" si="671"/>
        <v>0</v>
      </c>
      <c r="W46" s="113">
        <f t="shared" si="672"/>
        <v>0</v>
      </c>
      <c r="X46" s="113">
        <f t="shared" si="673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74"/>
        <v>0</v>
      </c>
      <c r="AF46" s="95">
        <f t="shared" si="675"/>
        <v>0</v>
      </c>
      <c r="AG46" s="114">
        <v>0</v>
      </c>
      <c r="AH46" s="95">
        <f t="shared" si="676"/>
        <v>0</v>
      </c>
      <c r="AI46" s="115">
        <f t="shared" si="677"/>
        <v>0</v>
      </c>
      <c r="AJ46" s="95">
        <f t="shared" si="678"/>
        <v>0</v>
      </c>
      <c r="AK46" s="95">
        <f t="shared" si="679"/>
        <v>0</v>
      </c>
      <c r="AL46" s="95">
        <f t="shared" si="680"/>
        <v>9930</v>
      </c>
      <c r="AM46" s="95">
        <f t="shared" si="681"/>
        <v>1500</v>
      </c>
      <c r="AN46" s="95">
        <f t="shared" si="682"/>
        <v>0</v>
      </c>
      <c r="AO46" s="95" t="str">
        <f t="shared" si="683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84"/>
        <v>нет остатка</v>
      </c>
      <c r="AW46" s="117">
        <f t="shared" si="685"/>
        <v>0</v>
      </c>
      <c r="AX46" s="118"/>
      <c r="AY46" s="25">
        <f t="shared" si="686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7"/>
        <v>0</v>
      </c>
      <c r="BG46" s="29">
        <v>0</v>
      </c>
      <c r="BH46" s="29">
        <f t="shared" si="688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9"/>
        <v>1500</v>
      </c>
      <c r="BR46" s="95">
        <f t="shared" si="690"/>
        <v>0</v>
      </c>
      <c r="BS46" s="95">
        <f t="shared" si="691"/>
        <v>0</v>
      </c>
      <c r="BT46" s="95">
        <f t="shared" si="691"/>
        <v>0</v>
      </c>
      <c r="BU46" s="95">
        <f t="shared" si="691"/>
        <v>0</v>
      </c>
      <c r="BV46" s="95">
        <f t="shared" si="691"/>
        <v>0</v>
      </c>
      <c r="BW46" s="95">
        <f t="shared" si="691"/>
        <v>-1500</v>
      </c>
      <c r="BX46" s="95">
        <f t="shared" si="692"/>
        <v>-3000</v>
      </c>
      <c r="BY46" s="95">
        <f t="shared" si="692"/>
        <v>-4500</v>
      </c>
      <c r="BZ46" s="95">
        <f t="shared" si="692"/>
        <v>-6000</v>
      </c>
      <c r="CA46" s="95">
        <f t="shared" si="692"/>
        <v>-7500</v>
      </c>
      <c r="CB46" s="95">
        <f t="shared" si="692"/>
        <v>-9000</v>
      </c>
      <c r="CC46" s="95">
        <f t="shared" si="692"/>
        <v>-10500</v>
      </c>
      <c r="CD46" s="95">
        <f t="shared" si="692"/>
        <v>-12000</v>
      </c>
      <c r="CE46" s="95">
        <f t="shared" si="692"/>
        <v>-13500</v>
      </c>
      <c r="CF46" s="95">
        <f t="shared" si="692"/>
        <v>-15000</v>
      </c>
      <c r="CG46" s="95">
        <f t="shared" si="692"/>
        <v>-16500</v>
      </c>
      <c r="CH46" s="95">
        <f t="shared" si="692"/>
        <v>-18000</v>
      </c>
      <c r="CI46" s="95">
        <f t="shared" si="692"/>
        <v>-19500</v>
      </c>
      <c r="CJ46" s="95">
        <f t="shared" si="692"/>
        <v>-21000</v>
      </c>
      <c r="CK46" s="95">
        <f t="shared" si="692"/>
        <v>-22500</v>
      </c>
      <c r="CL46" s="95">
        <f t="shared" si="692"/>
        <v>-24000</v>
      </c>
      <c r="CM46" s="95">
        <f t="shared" si="692"/>
        <v>-25500</v>
      </c>
      <c r="CN46" s="95">
        <f t="shared" si="692"/>
        <v>-27000</v>
      </c>
      <c r="CO46" s="95">
        <f t="shared" si="692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93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94"/>
        <v>0</v>
      </c>
      <c r="DB46" s="62">
        <f t="shared" si="695"/>
        <v>0</v>
      </c>
      <c r="DC46" s="62">
        <f t="shared" si="696"/>
        <v>0</v>
      </c>
      <c r="DD46" s="102">
        <f t="shared" si="697"/>
        <v>0</v>
      </c>
      <c r="DE46" s="31">
        <v>0</v>
      </c>
      <c r="DF46" s="31">
        <v>90</v>
      </c>
      <c r="DG46" s="31">
        <v>0</v>
      </c>
      <c r="DH46" s="48">
        <f t="shared" si="698"/>
        <v>0</v>
      </c>
      <c r="DI46" s="62">
        <v>9930</v>
      </c>
      <c r="DJ46" s="62">
        <v>66176.88</v>
      </c>
      <c r="DK46" s="48">
        <f t="shared" si="699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700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701"/>
        <v>0</v>
      </c>
      <c r="DV46" s="62">
        <v>0</v>
      </c>
      <c r="DW46" s="62">
        <v>0</v>
      </c>
      <c r="DX46" s="62">
        <f t="shared" si="702"/>
        <v>0</v>
      </c>
      <c r="DY46" s="62">
        <f t="shared" si="703"/>
        <v>0</v>
      </c>
      <c r="DZ46" s="48">
        <f t="shared" si="704"/>
        <v>0</v>
      </c>
      <c r="EA46" s="62">
        <f t="shared" si="705"/>
        <v>0</v>
      </c>
      <c r="EB46" s="62">
        <f t="shared" si="706"/>
        <v>0</v>
      </c>
      <c r="EC46" s="48">
        <f t="shared" si="707"/>
        <v>0</v>
      </c>
      <c r="ED46" s="62">
        <f t="shared" si="708"/>
        <v>0</v>
      </c>
      <c r="EE46" s="62">
        <f t="shared" si="709"/>
        <v>0</v>
      </c>
      <c r="EF46" s="48">
        <f t="shared" si="710"/>
        <v>0</v>
      </c>
      <c r="EG46" s="62">
        <f t="shared" si="711"/>
        <v>0</v>
      </c>
      <c r="EH46" s="62">
        <f t="shared" si="712"/>
        <v>0</v>
      </c>
      <c r="EI46" s="48">
        <f t="shared" si="713"/>
        <v>0</v>
      </c>
      <c r="EJ46" s="62">
        <f t="shared" si="714"/>
        <v>0</v>
      </c>
      <c r="EK46" s="62">
        <f t="shared" si="715"/>
        <v>0</v>
      </c>
      <c r="EL46" s="48">
        <f t="shared" si="716"/>
        <v>0</v>
      </c>
      <c r="EM46" s="62">
        <f t="shared" si="717"/>
        <v>4500</v>
      </c>
      <c r="EN46" s="62">
        <f t="shared" si="718"/>
        <v>29970</v>
      </c>
      <c r="EO46" s="48">
        <f t="shared" si="719"/>
        <v>0</v>
      </c>
      <c r="EP46" s="62">
        <f t="shared" si="720"/>
        <v>0</v>
      </c>
      <c r="EQ46" s="62">
        <f t="shared" si="720"/>
        <v>0</v>
      </c>
      <c r="ER46" s="62">
        <f t="shared" si="720"/>
        <v>0</v>
      </c>
      <c r="ES46" s="62">
        <f t="shared" si="720"/>
        <v>0</v>
      </c>
      <c r="ET46" s="62">
        <f t="shared" si="720"/>
        <v>0</v>
      </c>
      <c r="EU46" s="62">
        <f t="shared" si="720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21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 t="shared" si="57"/>
        <v>0</v>
      </c>
      <c r="FS46" s="103" t="b">
        <f t="shared" si="58"/>
        <v>0</v>
      </c>
      <c r="FT46" s="103" t="b">
        <f t="shared" si="59"/>
        <v>0</v>
      </c>
      <c r="FU46" s="103" t="b">
        <f t="shared" si="60"/>
        <v>0</v>
      </c>
      <c r="FV46" s="103" t="b">
        <f t="shared" si="61"/>
        <v>1</v>
      </c>
      <c r="FW46" s="104" t="b">
        <f t="shared" si="66"/>
        <v>0</v>
      </c>
      <c r="FX46" s="120" t="b">
        <f t="shared" si="722"/>
        <v>1</v>
      </c>
      <c r="FY46" s="104" t="s">
        <v>214</v>
      </c>
      <c r="FZ46" s="104" t="b">
        <f t="shared" si="723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24"/>
        <v>1</v>
      </c>
      <c r="GI46" s="8" t="b">
        <f t="shared" si="725"/>
        <v>0</v>
      </c>
    </row>
    <row r="47" spans="1:191" s="31" customFormat="1" hidden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8"/>
        <v>нет минмакс</v>
      </c>
      <c r="Q47" s="95">
        <v>0</v>
      </c>
      <c r="R47" s="95">
        <f t="shared" si="669"/>
        <v>0</v>
      </c>
      <c r="S47" s="112">
        <v>0</v>
      </c>
      <c r="T47" s="112">
        <v>0</v>
      </c>
      <c r="U47" s="112">
        <f t="shared" si="670"/>
        <v>0</v>
      </c>
      <c r="V47" s="113">
        <f t="shared" si="671"/>
        <v>0</v>
      </c>
      <c r="W47" s="113">
        <f t="shared" si="672"/>
        <v>0</v>
      </c>
      <c r="X47" s="113">
        <f t="shared" si="673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74"/>
        <v>0</v>
      </c>
      <c r="AF47" s="95">
        <f t="shared" si="675"/>
        <v>0</v>
      </c>
      <c r="AG47" s="114">
        <v>0</v>
      </c>
      <c r="AH47" s="95">
        <f t="shared" si="676"/>
        <v>0</v>
      </c>
      <c r="AI47" s="115">
        <f t="shared" si="677"/>
        <v>0</v>
      </c>
      <c r="AJ47" s="95">
        <f t="shared" si="678"/>
        <v>0</v>
      </c>
      <c r="AK47" s="95">
        <f t="shared" si="679"/>
        <v>0</v>
      </c>
      <c r="AL47" s="95">
        <f t="shared" si="680"/>
        <v>830</v>
      </c>
      <c r="AM47" s="95">
        <f t="shared" si="681"/>
        <v>125</v>
      </c>
      <c r="AN47" s="95">
        <f t="shared" si="682"/>
        <v>0</v>
      </c>
      <c r="AO47" s="95" t="str">
        <f t="shared" si="683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84"/>
        <v>нет остатка</v>
      </c>
      <c r="AW47" s="117">
        <f t="shared" si="685"/>
        <v>0</v>
      </c>
      <c r="AX47" s="118"/>
      <c r="AY47" s="25">
        <f t="shared" si="686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7"/>
        <v>0</v>
      </c>
      <c r="BG47" s="29">
        <v>0</v>
      </c>
      <c r="BH47" s="29">
        <f t="shared" si="688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9"/>
        <v>125</v>
      </c>
      <c r="BR47" s="95">
        <f t="shared" si="690"/>
        <v>0</v>
      </c>
      <c r="BS47" s="95">
        <f t="shared" si="691"/>
        <v>0</v>
      </c>
      <c r="BT47" s="95">
        <f t="shared" si="691"/>
        <v>0</v>
      </c>
      <c r="BU47" s="95">
        <f t="shared" si="691"/>
        <v>0</v>
      </c>
      <c r="BV47" s="95">
        <f t="shared" si="691"/>
        <v>0</v>
      </c>
      <c r="BW47" s="95">
        <f t="shared" si="691"/>
        <v>-125</v>
      </c>
      <c r="BX47" s="95">
        <f t="shared" si="692"/>
        <v>-250</v>
      </c>
      <c r="BY47" s="95">
        <f t="shared" si="692"/>
        <v>-375</v>
      </c>
      <c r="BZ47" s="95">
        <f t="shared" si="692"/>
        <v>-500</v>
      </c>
      <c r="CA47" s="95">
        <f t="shared" si="692"/>
        <v>-625</v>
      </c>
      <c r="CB47" s="95">
        <f t="shared" si="692"/>
        <v>-750</v>
      </c>
      <c r="CC47" s="95">
        <f t="shared" si="692"/>
        <v>-875</v>
      </c>
      <c r="CD47" s="95">
        <f t="shared" si="692"/>
        <v>-1000</v>
      </c>
      <c r="CE47" s="95">
        <f t="shared" si="692"/>
        <v>-1125</v>
      </c>
      <c r="CF47" s="95">
        <f t="shared" si="692"/>
        <v>-1250</v>
      </c>
      <c r="CG47" s="95">
        <f t="shared" si="692"/>
        <v>-1375</v>
      </c>
      <c r="CH47" s="95">
        <f t="shared" si="692"/>
        <v>-1500</v>
      </c>
      <c r="CI47" s="95">
        <f t="shared" si="692"/>
        <v>-1625</v>
      </c>
      <c r="CJ47" s="95">
        <f t="shared" si="692"/>
        <v>-1750</v>
      </c>
      <c r="CK47" s="95">
        <f t="shared" si="692"/>
        <v>-1875</v>
      </c>
      <c r="CL47" s="95">
        <f t="shared" si="692"/>
        <v>-2000</v>
      </c>
      <c r="CM47" s="95">
        <f t="shared" si="692"/>
        <v>-2125</v>
      </c>
      <c r="CN47" s="95">
        <f t="shared" si="692"/>
        <v>-2250</v>
      </c>
      <c r="CO47" s="95">
        <f t="shared" si="692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93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94"/>
        <v>0</v>
      </c>
      <c r="DB47" s="62">
        <f t="shared" si="695"/>
        <v>0</v>
      </c>
      <c r="DC47" s="62">
        <f t="shared" si="696"/>
        <v>0</v>
      </c>
      <c r="DD47" s="102">
        <f t="shared" si="697"/>
        <v>0</v>
      </c>
      <c r="DE47" s="31">
        <v>0</v>
      </c>
      <c r="DF47" s="31">
        <v>90</v>
      </c>
      <c r="DG47" s="31">
        <v>0</v>
      </c>
      <c r="DH47" s="48">
        <f t="shared" si="698"/>
        <v>0</v>
      </c>
      <c r="DI47" s="62">
        <v>830</v>
      </c>
      <c r="DJ47" s="62">
        <v>17361</v>
      </c>
      <c r="DK47" s="48">
        <f t="shared" si="699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700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701"/>
        <v>0</v>
      </c>
      <c r="DV47" s="62">
        <v>0</v>
      </c>
      <c r="DW47" s="62">
        <v>0</v>
      </c>
      <c r="DX47" s="62">
        <f t="shared" si="702"/>
        <v>0</v>
      </c>
      <c r="DY47" s="62">
        <f t="shared" si="703"/>
        <v>0</v>
      </c>
      <c r="DZ47" s="48">
        <f t="shared" si="704"/>
        <v>0</v>
      </c>
      <c r="EA47" s="62">
        <f t="shared" si="705"/>
        <v>0</v>
      </c>
      <c r="EB47" s="62">
        <f t="shared" si="706"/>
        <v>0</v>
      </c>
      <c r="EC47" s="48">
        <f t="shared" si="707"/>
        <v>0</v>
      </c>
      <c r="ED47" s="62">
        <f t="shared" si="708"/>
        <v>0</v>
      </c>
      <c r="EE47" s="62">
        <f t="shared" si="709"/>
        <v>0</v>
      </c>
      <c r="EF47" s="48">
        <f t="shared" si="710"/>
        <v>0</v>
      </c>
      <c r="EG47" s="62">
        <f t="shared" si="711"/>
        <v>0</v>
      </c>
      <c r="EH47" s="62">
        <f t="shared" si="712"/>
        <v>0</v>
      </c>
      <c r="EI47" s="48">
        <f t="shared" si="713"/>
        <v>0</v>
      </c>
      <c r="EJ47" s="62">
        <f t="shared" si="714"/>
        <v>0</v>
      </c>
      <c r="EK47" s="62">
        <f t="shared" si="715"/>
        <v>0</v>
      </c>
      <c r="EL47" s="48">
        <f t="shared" si="716"/>
        <v>0</v>
      </c>
      <c r="EM47" s="62">
        <f t="shared" si="717"/>
        <v>375</v>
      </c>
      <c r="EN47" s="62">
        <f t="shared" si="718"/>
        <v>7845.0000000000009</v>
      </c>
      <c r="EO47" s="48">
        <f t="shared" si="719"/>
        <v>0</v>
      </c>
      <c r="EP47" s="62">
        <f t="shared" si="720"/>
        <v>0</v>
      </c>
      <c r="EQ47" s="62">
        <f t="shared" si="720"/>
        <v>0</v>
      </c>
      <c r="ER47" s="62">
        <f t="shared" si="720"/>
        <v>0</v>
      </c>
      <c r="ES47" s="62">
        <f t="shared" si="720"/>
        <v>0</v>
      </c>
      <c r="ET47" s="62">
        <f t="shared" si="720"/>
        <v>0</v>
      </c>
      <c r="EU47" s="62">
        <f t="shared" si="720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21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 t="shared" si="57"/>
        <v>0</v>
      </c>
      <c r="FS47" s="103" t="b">
        <f t="shared" si="58"/>
        <v>0</v>
      </c>
      <c r="FT47" s="103" t="b">
        <f t="shared" si="59"/>
        <v>0</v>
      </c>
      <c r="FU47" s="103" t="b">
        <f t="shared" si="60"/>
        <v>0</v>
      </c>
      <c r="FV47" s="103" t="b">
        <f t="shared" si="61"/>
        <v>1</v>
      </c>
      <c r="FW47" s="104" t="b">
        <f t="shared" si="66"/>
        <v>0</v>
      </c>
      <c r="FX47" s="120" t="b">
        <f t="shared" si="722"/>
        <v>1</v>
      </c>
      <c r="FY47" s="104" t="s">
        <v>214</v>
      </c>
      <c r="FZ47" s="104" t="b">
        <f t="shared" si="723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24"/>
        <v>1</v>
      </c>
      <c r="GI47" s="8" t="b">
        <f t="shared" si="725"/>
        <v>0</v>
      </c>
    </row>
    <row r="48" spans="1:191" s="31" customFormat="1" hidden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8"/>
        <v>нет минмакс</v>
      </c>
      <c r="Q48" s="95">
        <v>0</v>
      </c>
      <c r="R48" s="95">
        <f t="shared" si="669"/>
        <v>0</v>
      </c>
      <c r="S48" s="112">
        <v>0</v>
      </c>
      <c r="T48" s="112">
        <v>0</v>
      </c>
      <c r="U48" s="112">
        <f t="shared" si="670"/>
        <v>0</v>
      </c>
      <c r="V48" s="113">
        <f t="shared" si="671"/>
        <v>0</v>
      </c>
      <c r="W48" s="113">
        <f t="shared" si="672"/>
        <v>0</v>
      </c>
      <c r="X48" s="113">
        <f t="shared" si="673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74"/>
        <v>0</v>
      </c>
      <c r="AF48" s="95">
        <f t="shared" si="675"/>
        <v>0</v>
      </c>
      <c r="AG48" s="114">
        <v>0</v>
      </c>
      <c r="AH48" s="95">
        <f t="shared" si="676"/>
        <v>0</v>
      </c>
      <c r="AI48" s="115">
        <f t="shared" si="677"/>
        <v>0</v>
      </c>
      <c r="AJ48" s="95">
        <f t="shared" si="678"/>
        <v>0</v>
      </c>
      <c r="AK48" s="95">
        <f t="shared" si="679"/>
        <v>0</v>
      </c>
      <c r="AL48" s="95">
        <f t="shared" si="680"/>
        <v>10015</v>
      </c>
      <c r="AM48" s="95">
        <f t="shared" si="681"/>
        <v>1500</v>
      </c>
      <c r="AN48" s="95">
        <f t="shared" si="682"/>
        <v>0</v>
      </c>
      <c r="AO48" s="95" t="str">
        <f t="shared" si="683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84"/>
        <v>нет остатка</v>
      </c>
      <c r="AW48" s="117">
        <f t="shared" si="685"/>
        <v>0</v>
      </c>
      <c r="AX48" s="118"/>
      <c r="AY48" s="25">
        <f t="shared" si="686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7"/>
        <v>0</v>
      </c>
      <c r="BG48" s="29">
        <v>0</v>
      </c>
      <c r="BH48" s="29">
        <f t="shared" si="688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9"/>
        <v>1500</v>
      </c>
      <c r="BR48" s="95">
        <f t="shared" si="690"/>
        <v>0</v>
      </c>
      <c r="BS48" s="95">
        <f t="shared" si="691"/>
        <v>0</v>
      </c>
      <c r="BT48" s="95">
        <f t="shared" si="691"/>
        <v>0</v>
      </c>
      <c r="BU48" s="95">
        <f t="shared" si="691"/>
        <v>0</v>
      </c>
      <c r="BV48" s="95">
        <f t="shared" si="691"/>
        <v>0</v>
      </c>
      <c r="BW48" s="95">
        <f t="shared" si="691"/>
        <v>-1500</v>
      </c>
      <c r="BX48" s="95">
        <f t="shared" si="692"/>
        <v>-3000</v>
      </c>
      <c r="BY48" s="95">
        <f t="shared" si="692"/>
        <v>-4500</v>
      </c>
      <c r="BZ48" s="95">
        <f t="shared" si="692"/>
        <v>-6000</v>
      </c>
      <c r="CA48" s="95">
        <f t="shared" ref="CA48:CO48" si="726">BZ48-$BQ48</f>
        <v>-7500</v>
      </c>
      <c r="CB48" s="95">
        <f t="shared" si="726"/>
        <v>-9000</v>
      </c>
      <c r="CC48" s="95">
        <f t="shared" si="726"/>
        <v>-10500</v>
      </c>
      <c r="CD48" s="95">
        <f t="shared" si="726"/>
        <v>-12000</v>
      </c>
      <c r="CE48" s="95">
        <f t="shared" si="726"/>
        <v>-13500</v>
      </c>
      <c r="CF48" s="95">
        <f t="shared" si="726"/>
        <v>-15000</v>
      </c>
      <c r="CG48" s="95">
        <f t="shared" si="726"/>
        <v>-16500</v>
      </c>
      <c r="CH48" s="95">
        <f t="shared" si="726"/>
        <v>-18000</v>
      </c>
      <c r="CI48" s="95">
        <f t="shared" si="726"/>
        <v>-19500</v>
      </c>
      <c r="CJ48" s="95">
        <f t="shared" si="726"/>
        <v>-21000</v>
      </c>
      <c r="CK48" s="95">
        <f t="shared" si="726"/>
        <v>-22500</v>
      </c>
      <c r="CL48" s="95">
        <f t="shared" si="726"/>
        <v>-24000</v>
      </c>
      <c r="CM48" s="95">
        <f t="shared" si="726"/>
        <v>-25500</v>
      </c>
      <c r="CN48" s="95">
        <f t="shared" si="726"/>
        <v>-27000</v>
      </c>
      <c r="CO48" s="95">
        <f t="shared" si="726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93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94"/>
        <v>0</v>
      </c>
      <c r="DB48" s="62">
        <f t="shared" si="695"/>
        <v>0</v>
      </c>
      <c r="DC48" s="62">
        <f t="shared" si="696"/>
        <v>0</v>
      </c>
      <c r="DD48" s="102">
        <f t="shared" si="697"/>
        <v>0</v>
      </c>
      <c r="DE48" s="31">
        <v>0</v>
      </c>
      <c r="DF48" s="31">
        <v>90</v>
      </c>
      <c r="DG48" s="31">
        <v>0</v>
      </c>
      <c r="DH48" s="48">
        <f t="shared" si="698"/>
        <v>0</v>
      </c>
      <c r="DI48" s="62">
        <v>10015</v>
      </c>
      <c r="DJ48" s="62">
        <v>66766.600000000006</v>
      </c>
      <c r="DK48" s="48">
        <f t="shared" si="699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700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701"/>
        <v>0</v>
      </c>
      <c r="DV48" s="62">
        <v>0</v>
      </c>
      <c r="DW48" s="62">
        <v>0</v>
      </c>
      <c r="DX48" s="62">
        <f t="shared" si="702"/>
        <v>0</v>
      </c>
      <c r="DY48" s="62">
        <f t="shared" si="703"/>
        <v>0</v>
      </c>
      <c r="DZ48" s="48">
        <f t="shared" si="704"/>
        <v>0</v>
      </c>
      <c r="EA48" s="62">
        <f t="shared" si="705"/>
        <v>0</v>
      </c>
      <c r="EB48" s="62">
        <f t="shared" si="706"/>
        <v>0</v>
      </c>
      <c r="EC48" s="48">
        <f t="shared" si="707"/>
        <v>0</v>
      </c>
      <c r="ED48" s="62">
        <f t="shared" si="708"/>
        <v>0</v>
      </c>
      <c r="EE48" s="62">
        <f t="shared" si="709"/>
        <v>0</v>
      </c>
      <c r="EF48" s="48">
        <f t="shared" si="710"/>
        <v>0</v>
      </c>
      <c r="EG48" s="62">
        <f t="shared" si="711"/>
        <v>0</v>
      </c>
      <c r="EH48" s="62">
        <f t="shared" si="712"/>
        <v>0</v>
      </c>
      <c r="EI48" s="48">
        <f t="shared" si="713"/>
        <v>0</v>
      </c>
      <c r="EJ48" s="62">
        <f t="shared" si="714"/>
        <v>0</v>
      </c>
      <c r="EK48" s="62">
        <f t="shared" si="715"/>
        <v>0</v>
      </c>
      <c r="EL48" s="48">
        <f t="shared" si="716"/>
        <v>0</v>
      </c>
      <c r="EM48" s="62">
        <f t="shared" si="717"/>
        <v>4500</v>
      </c>
      <c r="EN48" s="62">
        <f t="shared" si="718"/>
        <v>30015</v>
      </c>
      <c r="EO48" s="48">
        <f t="shared" si="719"/>
        <v>0</v>
      </c>
      <c r="EP48" s="62">
        <f t="shared" si="720"/>
        <v>0</v>
      </c>
      <c r="EQ48" s="62">
        <f t="shared" si="720"/>
        <v>0</v>
      </c>
      <c r="ER48" s="62">
        <f t="shared" si="720"/>
        <v>0</v>
      </c>
      <c r="ES48" s="62">
        <f t="shared" si="720"/>
        <v>0</v>
      </c>
      <c r="ET48" s="62">
        <f t="shared" si="720"/>
        <v>0</v>
      </c>
      <c r="EU48" s="62">
        <f t="shared" si="720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21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 t="shared" si="57"/>
        <v>0</v>
      </c>
      <c r="FS48" s="103" t="b">
        <f t="shared" si="58"/>
        <v>0</v>
      </c>
      <c r="FT48" s="103" t="b">
        <f t="shared" si="59"/>
        <v>0</v>
      </c>
      <c r="FU48" s="103" t="b">
        <f t="shared" si="60"/>
        <v>0</v>
      </c>
      <c r="FV48" s="103" t="b">
        <f t="shared" si="61"/>
        <v>1</v>
      </c>
      <c r="FW48" s="104" t="b">
        <f t="shared" si="66"/>
        <v>0</v>
      </c>
      <c r="FX48" s="120" t="b">
        <f t="shared" si="722"/>
        <v>1</v>
      </c>
      <c r="FY48" s="104" t="s">
        <v>214</v>
      </c>
      <c r="FZ48" s="104" t="b">
        <f t="shared" si="723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24"/>
        <v>1</v>
      </c>
      <c r="GI48" s="8" t="b">
        <f t="shared" si="725"/>
        <v>0</v>
      </c>
    </row>
    <row r="49" spans="1:191" s="31" customFormat="1" hidden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8"/>
        <v>меньше мин</v>
      </c>
      <c r="Q49" s="95">
        <v>204</v>
      </c>
      <c r="R49" s="95">
        <f t="shared" si="669"/>
        <v>9690014.2799999993</v>
      </c>
      <c r="S49" s="94">
        <v>14</v>
      </c>
      <c r="T49" s="94">
        <v>699479.48</v>
      </c>
      <c r="U49" s="94">
        <f t="shared" si="670"/>
        <v>6</v>
      </c>
      <c r="V49" s="94">
        <f t="shared" si="671"/>
        <v>198</v>
      </c>
      <c r="W49" s="94">
        <f t="shared" si="672"/>
        <v>9405013.8599999994</v>
      </c>
      <c r="X49" s="94">
        <f t="shared" si="673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74"/>
        <v>0</v>
      </c>
      <c r="AF49" s="95">
        <f t="shared" si="675"/>
        <v>0</v>
      </c>
      <c r="AG49" s="96">
        <v>186</v>
      </c>
      <c r="AH49" s="95">
        <f t="shared" si="676"/>
        <v>12</v>
      </c>
      <c r="AI49" s="94">
        <f t="shared" si="677"/>
        <v>570000.84</v>
      </c>
      <c r="AJ49" s="94">
        <f t="shared" si="678"/>
        <v>108</v>
      </c>
      <c r="AK49" s="94">
        <f t="shared" si="679"/>
        <v>306</v>
      </c>
      <c r="AL49" s="94">
        <f t="shared" si="680"/>
        <v>642</v>
      </c>
      <c r="AM49" s="94">
        <f t="shared" si="681"/>
        <v>629.99999999999989</v>
      </c>
      <c r="AN49" s="94">
        <f t="shared" si="682"/>
        <v>4.0000000000000009</v>
      </c>
      <c r="AO49" s="94" t="str">
        <f t="shared" si="683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84"/>
        <v>0-02</v>
      </c>
      <c r="AW49" s="98">
        <f t="shared" si="685"/>
        <v>0</v>
      </c>
      <c r="AX49" s="93"/>
      <c r="AY49" s="94">
        <f t="shared" si="686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7"/>
        <v>0</v>
      </c>
      <c r="BG49" s="29">
        <v>0</v>
      </c>
      <c r="BH49" s="29">
        <f t="shared" si="688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9"/>
        <v>104.99999999999999</v>
      </c>
      <c r="BR49" s="95">
        <f t="shared" si="690"/>
        <v>99.000000000000014</v>
      </c>
      <c r="BS49" s="95">
        <f t="shared" si="691"/>
        <v>-5.9999999999999716</v>
      </c>
      <c r="BT49" s="95">
        <f t="shared" si="691"/>
        <v>-110.99999999999996</v>
      </c>
      <c r="BU49" s="95">
        <f t="shared" si="691"/>
        <v>-215.99999999999994</v>
      </c>
      <c r="BV49" s="95">
        <f t="shared" si="691"/>
        <v>-320.99999999999994</v>
      </c>
      <c r="BW49" s="95">
        <f t="shared" si="691"/>
        <v>-425.99999999999994</v>
      </c>
      <c r="BX49" s="95">
        <f t="shared" ref="BX49:BZ49" si="727">BW49-$BQ49</f>
        <v>-530.99999999999989</v>
      </c>
      <c r="BY49" s="95">
        <f t="shared" si="727"/>
        <v>-635.99999999999989</v>
      </c>
      <c r="BZ49" s="95">
        <f t="shared" si="727"/>
        <v>-740.99999999999989</v>
      </c>
      <c r="CA49" s="95">
        <f t="shared" ref="CA49:CO49" si="728">BZ49-$BQ49</f>
        <v>-845.99999999999989</v>
      </c>
      <c r="CB49" s="95">
        <f t="shared" si="728"/>
        <v>-950.99999999999989</v>
      </c>
      <c r="CC49" s="95">
        <f t="shared" si="728"/>
        <v>-1055.9999999999998</v>
      </c>
      <c r="CD49" s="95">
        <f t="shared" si="728"/>
        <v>-1160.9999999999998</v>
      </c>
      <c r="CE49" s="95">
        <f t="shared" si="728"/>
        <v>-1265.9999999999998</v>
      </c>
      <c r="CF49" s="95">
        <f t="shared" si="728"/>
        <v>-1370.9999999999998</v>
      </c>
      <c r="CG49" s="95">
        <f t="shared" si="728"/>
        <v>-1475.9999999999998</v>
      </c>
      <c r="CH49" s="95">
        <f t="shared" si="728"/>
        <v>-1580.9999999999998</v>
      </c>
      <c r="CI49" s="95">
        <f t="shared" si="728"/>
        <v>-1685.9999999999998</v>
      </c>
      <c r="CJ49" s="95">
        <f t="shared" si="728"/>
        <v>-1790.9999999999998</v>
      </c>
      <c r="CK49" s="95">
        <f t="shared" si="728"/>
        <v>-1895.9999999999998</v>
      </c>
      <c r="CL49" s="95">
        <f t="shared" si="728"/>
        <v>-2000.9999999999998</v>
      </c>
      <c r="CM49" s="95">
        <f t="shared" si="728"/>
        <v>-2105.9999999999995</v>
      </c>
      <c r="CN49" s="95">
        <f t="shared" si="728"/>
        <v>-2210.9999999999995</v>
      </c>
      <c r="CO49" s="95">
        <f t="shared" si="728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93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94"/>
        <v>0.79635949943117168</v>
      </c>
      <c r="DB49" s="62">
        <f t="shared" si="695"/>
        <v>6680409.844800001</v>
      </c>
      <c r="DC49" s="62">
        <f t="shared" si="696"/>
        <v>5320007.84</v>
      </c>
      <c r="DD49" s="102">
        <f t="shared" si="697"/>
        <v>0.79635949943117168</v>
      </c>
      <c r="DE49" s="31">
        <v>0</v>
      </c>
      <c r="DG49" s="31">
        <v>0</v>
      </c>
      <c r="DH49" s="48">
        <f t="shared" si="698"/>
        <v>0</v>
      </c>
      <c r="DI49" s="62">
        <v>123.258</v>
      </c>
      <c r="DJ49" s="62">
        <v>6021449.3190000001</v>
      </c>
      <c r="DK49" s="48">
        <f t="shared" si="699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700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701"/>
        <v>28.5</v>
      </c>
      <c r="DV49" s="62">
        <v>112</v>
      </c>
      <c r="DW49" s="62">
        <v>5593443.413754941</v>
      </c>
      <c r="DX49" s="62">
        <f t="shared" si="702"/>
        <v>0</v>
      </c>
      <c r="DY49" s="62">
        <f t="shared" si="703"/>
        <v>0</v>
      </c>
      <c r="DZ49" s="48">
        <f t="shared" si="704"/>
        <v>0</v>
      </c>
      <c r="EA49" s="62">
        <f t="shared" si="705"/>
        <v>0</v>
      </c>
      <c r="EB49" s="62">
        <f t="shared" si="706"/>
        <v>0</v>
      </c>
      <c r="EC49" s="48">
        <f t="shared" si="707"/>
        <v>0</v>
      </c>
      <c r="ED49" s="62">
        <f t="shared" si="708"/>
        <v>0</v>
      </c>
      <c r="EE49" s="62">
        <f t="shared" si="709"/>
        <v>0</v>
      </c>
      <c r="EF49" s="48">
        <f t="shared" si="710"/>
        <v>0</v>
      </c>
      <c r="EG49" s="62">
        <f t="shared" si="711"/>
        <v>0</v>
      </c>
      <c r="EH49" s="62">
        <f t="shared" si="712"/>
        <v>0</v>
      </c>
      <c r="EI49" s="48">
        <f t="shared" si="713"/>
        <v>0</v>
      </c>
      <c r="EJ49" s="62">
        <f t="shared" si="714"/>
        <v>0</v>
      </c>
      <c r="EK49" s="62">
        <f t="shared" si="715"/>
        <v>0</v>
      </c>
      <c r="EL49" s="48">
        <f t="shared" si="716"/>
        <v>0</v>
      </c>
      <c r="EM49" s="62">
        <f t="shared" si="717"/>
        <v>0</v>
      </c>
      <c r="EN49" s="62">
        <f t="shared" si="718"/>
        <v>0</v>
      </c>
      <c r="EO49" s="48">
        <f t="shared" si="719"/>
        <v>0</v>
      </c>
      <c r="EP49" s="62">
        <f t="shared" ref="EP49:EU51" si="729">BK49*$FH49</f>
        <v>4987507.3499999996</v>
      </c>
      <c r="EQ49" s="62">
        <f t="shared" si="729"/>
        <v>4987507.3499999996</v>
      </c>
      <c r="ER49" s="62">
        <f t="shared" si="729"/>
        <v>4987507.3499999996</v>
      </c>
      <c r="ES49" s="62">
        <f t="shared" ref="ES49:EU50" si="730">BN49*$FH49</f>
        <v>4987507.3499999996</v>
      </c>
      <c r="ET49" s="62">
        <f t="shared" si="730"/>
        <v>4987507.3499999996</v>
      </c>
      <c r="EU49" s="62">
        <f t="shared" si="730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21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 t="shared" si="57"/>
        <v>1</v>
      </c>
      <c r="FS49" s="104" t="b">
        <f t="shared" si="58"/>
        <v>1</v>
      </c>
      <c r="FT49" s="104" t="b">
        <f t="shared" si="59"/>
        <v>1</v>
      </c>
      <c r="FU49" s="104" t="b">
        <f t="shared" si="60"/>
        <v>0</v>
      </c>
      <c r="FV49" s="104" t="b">
        <f t="shared" si="61"/>
        <v>1</v>
      </c>
      <c r="FW49" s="104" t="b">
        <f t="shared" si="66"/>
        <v>0</v>
      </c>
      <c r="FX49" s="104" t="b">
        <f t="shared" si="722"/>
        <v>1</v>
      </c>
      <c r="FY49" s="104" t="s">
        <v>214</v>
      </c>
      <c r="FZ49" s="104" t="b">
        <f t="shared" si="723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24"/>
        <v>1</v>
      </c>
      <c r="GI49" s="108" t="b">
        <f t="shared" si="725"/>
        <v>0</v>
      </c>
    </row>
    <row r="50" spans="1:191" s="31" customFormat="1" ht="60" hidden="1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8"/>
        <v>больше макс</v>
      </c>
      <c r="Q50" s="95">
        <v>2028</v>
      </c>
      <c r="R50" s="95">
        <f t="shared" si="669"/>
        <v>61874.280000000006</v>
      </c>
      <c r="S50" s="112">
        <v>810</v>
      </c>
      <c r="T50" s="112">
        <v>39236.400000000001</v>
      </c>
      <c r="U50" s="112">
        <f t="shared" si="670"/>
        <v>0</v>
      </c>
      <c r="V50" s="113">
        <f t="shared" si="671"/>
        <v>1500</v>
      </c>
      <c r="W50" s="113">
        <f t="shared" si="672"/>
        <v>45765</v>
      </c>
      <c r="X50" s="113">
        <f t="shared" si="673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74"/>
        <v>0</v>
      </c>
      <c r="AF50" s="95">
        <f t="shared" si="675"/>
        <v>0</v>
      </c>
      <c r="AG50" s="114">
        <v>0</v>
      </c>
      <c r="AH50" s="95">
        <f t="shared" si="676"/>
        <v>1500</v>
      </c>
      <c r="AI50" s="115">
        <f t="shared" si="677"/>
        <v>45765</v>
      </c>
      <c r="AJ50" s="95">
        <f t="shared" si="678"/>
        <v>463</v>
      </c>
      <c r="AK50" s="95">
        <f t="shared" si="679"/>
        <v>782</v>
      </c>
      <c r="AL50" s="95">
        <f t="shared" si="680"/>
        <v>1476</v>
      </c>
      <c r="AM50" s="95">
        <f t="shared" si="681"/>
        <v>1260</v>
      </c>
      <c r="AN50" s="95">
        <f t="shared" si="682"/>
        <v>115.71428571428572</v>
      </c>
      <c r="AO50" s="95" t="str">
        <f t="shared" si="683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84"/>
        <v>0-10</v>
      </c>
      <c r="AW50" s="117">
        <f t="shared" si="685"/>
        <v>45765</v>
      </c>
      <c r="AX50" s="14">
        <f>MONTH(BC50)-6</f>
        <v>5</v>
      </c>
      <c r="AY50" s="25">
        <f t="shared" si="686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7"/>
        <v>0</v>
      </c>
      <c r="BG50" s="29">
        <v>0</v>
      </c>
      <c r="BH50" s="29">
        <f t="shared" si="688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9"/>
        <v>210</v>
      </c>
      <c r="BR50" s="95">
        <f t="shared" si="690"/>
        <v>1818</v>
      </c>
      <c r="BS50" s="95">
        <f t="shared" si="691"/>
        <v>1608</v>
      </c>
      <c r="BT50" s="95">
        <f t="shared" si="691"/>
        <v>1398</v>
      </c>
      <c r="BU50" s="95">
        <f t="shared" si="691"/>
        <v>1188</v>
      </c>
      <c r="BV50" s="95">
        <f t="shared" si="691"/>
        <v>978</v>
      </c>
      <c r="BW50" s="95">
        <f t="shared" si="691"/>
        <v>768</v>
      </c>
      <c r="BX50" s="95">
        <f t="shared" ref="BX50:CO50" si="731">BW50-$BQ50</f>
        <v>558</v>
      </c>
      <c r="BY50" s="95">
        <f t="shared" si="731"/>
        <v>348</v>
      </c>
      <c r="BZ50" s="95">
        <f t="shared" si="731"/>
        <v>138</v>
      </c>
      <c r="CA50" s="95">
        <f t="shared" si="731"/>
        <v>-72</v>
      </c>
      <c r="CB50" s="95">
        <f t="shared" si="731"/>
        <v>-282</v>
      </c>
      <c r="CC50" s="95">
        <f t="shared" si="731"/>
        <v>-492</v>
      </c>
      <c r="CD50" s="95">
        <f t="shared" si="731"/>
        <v>-702</v>
      </c>
      <c r="CE50" s="95">
        <f t="shared" si="731"/>
        <v>-912</v>
      </c>
      <c r="CF50" s="95">
        <f t="shared" si="731"/>
        <v>-1122</v>
      </c>
      <c r="CG50" s="95">
        <f t="shared" si="731"/>
        <v>-1332</v>
      </c>
      <c r="CH50" s="95">
        <f t="shared" si="731"/>
        <v>-1542</v>
      </c>
      <c r="CI50" s="95">
        <f t="shared" si="731"/>
        <v>-1752</v>
      </c>
      <c r="CJ50" s="95">
        <f t="shared" si="731"/>
        <v>-1962</v>
      </c>
      <c r="CK50" s="95">
        <f t="shared" si="731"/>
        <v>-2172</v>
      </c>
      <c r="CL50" s="95">
        <f t="shared" si="731"/>
        <v>-2382</v>
      </c>
      <c r="CM50" s="95">
        <f t="shared" si="731"/>
        <v>-2592</v>
      </c>
      <c r="CN50" s="95">
        <f t="shared" si="731"/>
        <v>-2802</v>
      </c>
      <c r="CO50" s="95">
        <f t="shared" si="731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93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94"/>
        <v>0</v>
      </c>
      <c r="DB50" s="62">
        <f t="shared" si="695"/>
        <v>0</v>
      </c>
      <c r="DC50" s="62">
        <f t="shared" si="696"/>
        <v>0</v>
      </c>
      <c r="DD50" s="102">
        <f t="shared" si="697"/>
        <v>0</v>
      </c>
      <c r="DE50" s="31">
        <v>0</v>
      </c>
      <c r="DF50" s="31">
        <v>90</v>
      </c>
      <c r="DG50" s="31">
        <v>0</v>
      </c>
      <c r="DH50" s="48">
        <f t="shared" si="698"/>
        <v>0</v>
      </c>
      <c r="DI50" s="62">
        <v>1141.8710000000001</v>
      </c>
      <c r="DJ50" s="62">
        <v>54341.160999999993</v>
      </c>
      <c r="DK50" s="48">
        <f t="shared" si="699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700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701"/>
        <v>0</v>
      </c>
      <c r="DV50" s="62">
        <v>0</v>
      </c>
      <c r="DW50" s="62">
        <v>0</v>
      </c>
      <c r="DX50" s="62">
        <f t="shared" si="702"/>
        <v>630</v>
      </c>
      <c r="DY50" s="62">
        <f t="shared" si="703"/>
        <v>19221.3</v>
      </c>
      <c r="DZ50" s="48">
        <f t="shared" si="704"/>
        <v>0</v>
      </c>
      <c r="EA50" s="62">
        <f t="shared" si="705"/>
        <v>630</v>
      </c>
      <c r="EB50" s="62">
        <f t="shared" si="706"/>
        <v>19221.3</v>
      </c>
      <c r="EC50" s="48">
        <f t="shared" si="707"/>
        <v>0</v>
      </c>
      <c r="ED50" s="62">
        <f t="shared" si="708"/>
        <v>630</v>
      </c>
      <c r="EE50" s="62">
        <f t="shared" si="709"/>
        <v>19221.3</v>
      </c>
      <c r="EF50" s="48">
        <f t="shared" si="710"/>
        <v>0</v>
      </c>
      <c r="EG50" s="62">
        <f t="shared" si="711"/>
        <v>630</v>
      </c>
      <c r="EH50" s="62">
        <f t="shared" si="712"/>
        <v>19221.3</v>
      </c>
      <c r="EI50" s="48">
        <f t="shared" si="713"/>
        <v>0</v>
      </c>
      <c r="EJ50" s="62">
        <f t="shared" si="714"/>
        <v>630</v>
      </c>
      <c r="EK50" s="62">
        <f t="shared" si="715"/>
        <v>19221.3</v>
      </c>
      <c r="EL50" s="48">
        <f t="shared" si="716"/>
        <v>0</v>
      </c>
      <c r="EM50" s="62">
        <f t="shared" si="717"/>
        <v>630</v>
      </c>
      <c r="EN50" s="62">
        <f t="shared" si="718"/>
        <v>19221.3</v>
      </c>
      <c r="EO50" s="48">
        <f t="shared" si="719"/>
        <v>0</v>
      </c>
      <c r="EP50" s="62">
        <f t="shared" si="729"/>
        <v>6407.1</v>
      </c>
      <c r="EQ50" s="62">
        <f t="shared" si="729"/>
        <v>6407.1</v>
      </c>
      <c r="ER50" s="62">
        <f t="shared" si="729"/>
        <v>6407.1</v>
      </c>
      <c r="ES50" s="62">
        <f t="shared" si="730"/>
        <v>6407.1</v>
      </c>
      <c r="ET50" s="62">
        <f t="shared" si="730"/>
        <v>6407.1</v>
      </c>
      <c r="EU50" s="62">
        <f t="shared" si="730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21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 t="shared" si="57"/>
        <v>1</v>
      </c>
      <c r="FS50" s="103" t="b">
        <f t="shared" si="58"/>
        <v>1</v>
      </c>
      <c r="FT50" s="103" t="b">
        <f t="shared" si="59"/>
        <v>1</v>
      </c>
      <c r="FU50" s="103" t="b">
        <f t="shared" si="60"/>
        <v>0</v>
      </c>
      <c r="FV50" s="103" t="b">
        <f t="shared" si="61"/>
        <v>1</v>
      </c>
      <c r="FW50" s="104" t="b">
        <f t="shared" si="66"/>
        <v>0</v>
      </c>
      <c r="FX50" s="120" t="b">
        <f t="shared" si="722"/>
        <v>1</v>
      </c>
      <c r="FY50" s="104" t="s">
        <v>214</v>
      </c>
      <c r="FZ50" s="104" t="b">
        <f t="shared" si="723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24"/>
        <v>1</v>
      </c>
      <c r="GI50" s="8" t="b">
        <f t="shared" si="725"/>
        <v>0</v>
      </c>
    </row>
    <row r="51" spans="1:191" s="31" customFormat="1" ht="60" hidden="1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32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33">Q51*FH51</f>
        <v>654796.38</v>
      </c>
      <c r="S51" s="94">
        <v>1473</v>
      </c>
      <c r="T51" s="94">
        <v>674958.06</v>
      </c>
      <c r="U51" s="94">
        <f t="shared" ref="U51:U54" si="734">IFERROR(ROUNDUP(S51/$EX51,0)*$EY51,0)</f>
        <v>10</v>
      </c>
      <c r="V51" s="94">
        <f t="shared" ref="V51:V54" si="735">SUM(Z51:AD51)</f>
        <v>1337</v>
      </c>
      <c r="W51" s="94">
        <f t="shared" ref="W51:W54" si="736">V51*FH51</f>
        <v>612640.14</v>
      </c>
      <c r="X51" s="94">
        <f t="shared" ref="X51:X54" si="737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8">AA51*FH51</f>
        <v>0</v>
      </c>
      <c r="AF51" s="95">
        <f t="shared" ref="AF51:AF54" si="739">AB51*FH51</f>
        <v>0</v>
      </c>
      <c r="AG51" s="96">
        <v>0</v>
      </c>
      <c r="AH51" s="95">
        <f t="shared" ref="AH51:AH54" si="740">V51-AG51</f>
        <v>1337</v>
      </c>
      <c r="AI51" s="94">
        <f t="shared" ref="AI51:AI54" si="741">IF(AH51&gt;0,AH51*FH51,0)</f>
        <v>612640.14</v>
      </c>
      <c r="AJ51" s="94">
        <f t="shared" ref="AJ51:AJ54" si="742">CU51</f>
        <v>12</v>
      </c>
      <c r="AK51" s="94">
        <f t="shared" ref="AK51:AK54" si="743">SUM(CS51:CU51)</f>
        <v>140</v>
      </c>
      <c r="AL51" s="94">
        <f t="shared" ref="AL51:AL54" si="744">SUM(CP51:CU51)</f>
        <v>203</v>
      </c>
      <c r="AM51" s="94">
        <f t="shared" ref="AM51:AM54" si="745">SUM(BK51:BP51)</f>
        <v>2625</v>
      </c>
      <c r="AN51" s="94">
        <f t="shared" ref="AN51:AN54" si="746">IFERROR(S51/BQ51*30,"нет оборота")</f>
        <v>50.502857142857145</v>
      </c>
      <c r="AO51" s="94" t="str">
        <f t="shared" ref="AO51:AO54" si="747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8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9">IF(AT51="Да",W51,0)</f>
        <v>612640.14</v>
      </c>
      <c r="AX51" s="14">
        <f>MONTH(BC51)-6</f>
        <v>3</v>
      </c>
      <c r="AY51" s="94">
        <f t="shared" ref="AY51:AY54" si="750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51">BE51*FH51</f>
        <v>0</v>
      </c>
      <c r="BG51" s="29">
        <v>0</v>
      </c>
      <c r="BH51" s="29">
        <f t="shared" ref="BH51:BH54" si="752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53">IF(COUNTIF(BK51:BP51,"&gt;0")=0,0,SUM(BK51:BP51)/COUNTIF(BK51:BP51,"&gt;0"))</f>
        <v>875</v>
      </c>
      <c r="BR51" s="95">
        <f t="shared" ref="BR51:BR54" si="754">IF(OR(Q51=0,SUM(BK51:BP51)=0,V51&gt;Q51),V51-BK51,Q51-BK51)</f>
        <v>554</v>
      </c>
      <c r="BS51" s="95">
        <f t="shared" ref="BS51:BW54" si="755">BR51-BL51</f>
        <v>554</v>
      </c>
      <c r="BT51" s="95">
        <f t="shared" si="755"/>
        <v>554</v>
      </c>
      <c r="BU51" s="95">
        <f t="shared" si="755"/>
        <v>-321</v>
      </c>
      <c r="BV51" s="95">
        <f t="shared" si="755"/>
        <v>-321</v>
      </c>
      <c r="BW51" s="95">
        <f t="shared" si="755"/>
        <v>-1196</v>
      </c>
      <c r="BX51" s="95">
        <f t="shared" ref="BX51:CO54" si="756">BW51-$BQ51</f>
        <v>-2071</v>
      </c>
      <c r="BY51" s="95">
        <f t="shared" si="756"/>
        <v>-2946</v>
      </c>
      <c r="BZ51" s="95">
        <f t="shared" si="756"/>
        <v>-3821</v>
      </c>
      <c r="CA51" s="95">
        <f t="shared" si="756"/>
        <v>-4696</v>
      </c>
      <c r="CB51" s="95">
        <f t="shared" si="756"/>
        <v>-5571</v>
      </c>
      <c r="CC51" s="95">
        <f t="shared" si="756"/>
        <v>-6446</v>
      </c>
      <c r="CD51" s="95">
        <f t="shared" si="756"/>
        <v>-7321</v>
      </c>
      <c r="CE51" s="95">
        <f t="shared" si="756"/>
        <v>-8196</v>
      </c>
      <c r="CF51" s="95">
        <f t="shared" si="756"/>
        <v>-9071</v>
      </c>
      <c r="CG51" s="95">
        <f t="shared" si="756"/>
        <v>-9946</v>
      </c>
      <c r="CH51" s="95">
        <f t="shared" si="756"/>
        <v>-10821</v>
      </c>
      <c r="CI51" s="95">
        <f t="shared" si="756"/>
        <v>-11696</v>
      </c>
      <c r="CJ51" s="95">
        <f t="shared" si="756"/>
        <v>-12571</v>
      </c>
      <c r="CK51" s="95">
        <f t="shared" si="756"/>
        <v>-13446</v>
      </c>
      <c r="CL51" s="95">
        <f t="shared" si="756"/>
        <v>-14321</v>
      </c>
      <c r="CM51" s="95">
        <f t="shared" si="756"/>
        <v>-15196</v>
      </c>
      <c r="CN51" s="95">
        <f t="shared" si="756"/>
        <v>-16071</v>
      </c>
      <c r="CO51" s="95">
        <f t="shared" si="756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7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8">IFERROR(CZ51/CY51,0)</f>
        <v>0</v>
      </c>
      <c r="DB51" s="62">
        <f t="shared" ref="DB51:DB54" si="759">CY51*FH51</f>
        <v>0</v>
      </c>
      <c r="DC51" s="62">
        <f t="shared" ref="DC51:DC54" si="760">CZ51*FH51</f>
        <v>40323.360000000001</v>
      </c>
      <c r="DD51" s="102">
        <f t="shared" ref="DD51:DD54" si="761">IFERROR(DC51/DB51,0)</f>
        <v>0</v>
      </c>
      <c r="DE51" s="31">
        <v>0</v>
      </c>
      <c r="DG51" s="31">
        <v>0</v>
      </c>
      <c r="DH51" s="48">
        <f t="shared" ref="DH51:DH54" si="762">IFERROR(ROUNDUP(DG51/$EX51,0)*$EY51,0)</f>
        <v>0</v>
      </c>
      <c r="DI51" s="62">
        <v>1597</v>
      </c>
      <c r="DJ51" s="62">
        <v>731770.42999999993</v>
      </c>
      <c r="DK51" s="48">
        <f t="shared" ref="DK51:DK54" si="763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64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65">IFERROR(ROUNDUP(DS51/$EX51,0)*$EY51,0)</f>
        <v>10</v>
      </c>
      <c r="DV51" s="62">
        <v>88</v>
      </c>
      <c r="DW51" s="62">
        <v>40322.979307469301</v>
      </c>
      <c r="DX51" s="62">
        <f t="shared" ref="DX51:DX54" si="766">$DF51*BK51/30</f>
        <v>0</v>
      </c>
      <c r="DY51" s="62">
        <f t="shared" ref="DY51:DY54" si="767">DX51*$FH51</f>
        <v>0</v>
      </c>
      <c r="DZ51" s="48">
        <f t="shared" ref="DZ51:DZ54" si="768">IFERROR(ROUNDUP(DX51/$EX51,0)*$EY51,0)</f>
        <v>0</v>
      </c>
      <c r="EA51" s="62">
        <f t="shared" ref="EA51:EA54" si="769">$DF51*BL51/30</f>
        <v>0</v>
      </c>
      <c r="EB51" s="62">
        <f t="shared" ref="EB51:EB54" si="770">EA51*$FH51</f>
        <v>0</v>
      </c>
      <c r="EC51" s="48">
        <f t="shared" ref="EC51:EC54" si="771">IFERROR(ROUNDUP(EA51/$EX51,0)*$EY51,0)</f>
        <v>0</v>
      </c>
      <c r="ED51" s="62">
        <f t="shared" ref="ED51:ED54" si="772">$DF51*BM51/30</f>
        <v>0</v>
      </c>
      <c r="EE51" s="62">
        <f t="shared" ref="EE51:EE54" si="773">ED51*$FH51</f>
        <v>0</v>
      </c>
      <c r="EF51" s="48">
        <f t="shared" ref="EF51:EF54" si="774">IFERROR(ROUNDUP(ED51/$EX51,0)*$EY51,0)</f>
        <v>0</v>
      </c>
      <c r="EG51" s="62">
        <f t="shared" ref="EG51:EG54" si="775">$DF51*BN51/30</f>
        <v>0</v>
      </c>
      <c r="EH51" s="62">
        <f t="shared" ref="EH51:EH54" si="776">EG51*$FH51</f>
        <v>0</v>
      </c>
      <c r="EI51" s="48">
        <f t="shared" ref="EI51:EI54" si="777">IFERROR(ROUNDUP(EG51/$EX51,0)*$EY51,0)</f>
        <v>0</v>
      </c>
      <c r="EJ51" s="62">
        <f t="shared" ref="EJ51:EJ54" si="778">$DF51*BO51/30</f>
        <v>0</v>
      </c>
      <c r="EK51" s="62">
        <f t="shared" ref="EK51:EK54" si="779">EJ51*$FH51</f>
        <v>0</v>
      </c>
      <c r="EL51" s="48">
        <f t="shared" ref="EL51:EL54" si="780">IFERROR(ROUNDUP(EJ51/$EX51,0)*$EY51,0)</f>
        <v>0</v>
      </c>
      <c r="EM51" s="62">
        <f t="shared" ref="EM51:EM54" si="781">$DF51*BP51/30</f>
        <v>0</v>
      </c>
      <c r="EN51" s="62">
        <f t="shared" ref="EN51:EN54" si="782">EM51*$FH51</f>
        <v>0</v>
      </c>
      <c r="EO51" s="48">
        <f t="shared" ref="EO51:EO54" si="783">IFERROR(ROUNDUP(EM51/$EX51,0)*$EY51,0)</f>
        <v>0</v>
      </c>
      <c r="EP51" s="62">
        <f t="shared" si="729"/>
        <v>400942.5</v>
      </c>
      <c r="EQ51" s="62">
        <f t="shared" si="729"/>
        <v>0</v>
      </c>
      <c r="ER51" s="62">
        <f t="shared" si="729"/>
        <v>0</v>
      </c>
      <c r="ES51" s="62">
        <f t="shared" si="729"/>
        <v>400942.5</v>
      </c>
      <c r="ET51" s="62">
        <f t="shared" si="729"/>
        <v>0</v>
      </c>
      <c r="EU51" s="62">
        <f t="shared" si="729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84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 t="shared" si="57"/>
        <v>1</v>
      </c>
      <c r="FS51" s="104" t="b">
        <f t="shared" si="58"/>
        <v>1</v>
      </c>
      <c r="FT51" s="104" t="b">
        <f t="shared" si="59"/>
        <v>1</v>
      </c>
      <c r="FU51" s="104" t="b">
        <f t="shared" si="60"/>
        <v>1</v>
      </c>
      <c r="FV51" s="104" t="b">
        <f t="shared" si="61"/>
        <v>1</v>
      </c>
      <c r="FW51" s="104" t="b">
        <f t="shared" si="66"/>
        <v>0</v>
      </c>
      <c r="FX51" s="104" t="b">
        <f t="shared" ref="FX51:FX54" si="785">EXACT(FQ51,BI51)</f>
        <v>1</v>
      </c>
      <c r="FY51" s="104" t="s">
        <v>214</v>
      </c>
      <c r="FZ51" s="104" t="b">
        <f t="shared" ref="FZ51:FZ54" si="786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7">EXACT(GD51,C51)</f>
        <v>1</v>
      </c>
      <c r="GI51" s="108" t="b">
        <f t="shared" ref="GI51:GI54" si="788">EXACT(GG51,G51)</f>
        <v>0</v>
      </c>
    </row>
    <row r="52" spans="1:191" s="31" customFormat="1" hidden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32"/>
        <v>нет минмакс</v>
      </c>
      <c r="Q52" s="95">
        <v>0</v>
      </c>
      <c r="R52" s="95">
        <f t="shared" si="733"/>
        <v>0</v>
      </c>
      <c r="S52" s="112">
        <v>0</v>
      </c>
      <c r="T52" s="112">
        <v>0</v>
      </c>
      <c r="U52" s="112">
        <f t="shared" si="734"/>
        <v>0</v>
      </c>
      <c r="V52" s="113">
        <f t="shared" si="735"/>
        <v>0</v>
      </c>
      <c r="W52" s="113">
        <f t="shared" si="736"/>
        <v>0</v>
      </c>
      <c r="X52" s="113">
        <f t="shared" si="737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8"/>
        <v>0</v>
      </c>
      <c r="AF52" s="95">
        <f t="shared" si="739"/>
        <v>0</v>
      </c>
      <c r="AG52" s="114">
        <v>0</v>
      </c>
      <c r="AH52" s="95">
        <f t="shared" si="740"/>
        <v>0</v>
      </c>
      <c r="AI52" s="115">
        <f t="shared" si="741"/>
        <v>0</v>
      </c>
      <c r="AJ52" s="95">
        <f t="shared" si="742"/>
        <v>0</v>
      </c>
      <c r="AK52" s="95">
        <f t="shared" si="743"/>
        <v>0</v>
      </c>
      <c r="AL52" s="95">
        <f t="shared" si="744"/>
        <v>2701</v>
      </c>
      <c r="AM52" s="95">
        <f t="shared" si="745"/>
        <v>2125</v>
      </c>
      <c r="AN52" s="95">
        <f t="shared" si="746"/>
        <v>0</v>
      </c>
      <c r="AO52" s="95" t="str">
        <f t="shared" si="747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8"/>
        <v>нет остатка</v>
      </c>
      <c r="AW52" s="117">
        <f t="shared" si="749"/>
        <v>0</v>
      </c>
      <c r="AX52" s="118"/>
      <c r="AY52" s="25">
        <f t="shared" si="750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51"/>
        <v>0</v>
      </c>
      <c r="BG52" s="29">
        <v>0</v>
      </c>
      <c r="BH52" s="29">
        <f t="shared" si="752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53"/>
        <v>1062.5</v>
      </c>
      <c r="BR52" s="95">
        <f t="shared" si="754"/>
        <v>0</v>
      </c>
      <c r="BS52" s="95">
        <f t="shared" si="755"/>
        <v>0</v>
      </c>
      <c r="BT52" s="95">
        <f t="shared" si="755"/>
        <v>0</v>
      </c>
      <c r="BU52" s="95">
        <f t="shared" si="755"/>
        <v>-1250</v>
      </c>
      <c r="BV52" s="95">
        <f t="shared" si="755"/>
        <v>-1250</v>
      </c>
      <c r="BW52" s="95">
        <f t="shared" si="755"/>
        <v>-2125</v>
      </c>
      <c r="BX52" s="95">
        <f t="shared" si="756"/>
        <v>-3187.5</v>
      </c>
      <c r="BY52" s="95">
        <f t="shared" si="756"/>
        <v>-4250</v>
      </c>
      <c r="BZ52" s="95">
        <f t="shared" si="756"/>
        <v>-5312.5</v>
      </c>
      <c r="CA52" s="95">
        <f t="shared" si="756"/>
        <v>-6375</v>
      </c>
      <c r="CB52" s="95">
        <f t="shared" si="756"/>
        <v>-7437.5</v>
      </c>
      <c r="CC52" s="95">
        <f t="shared" si="756"/>
        <v>-8500</v>
      </c>
      <c r="CD52" s="95">
        <f t="shared" si="756"/>
        <v>-9562.5</v>
      </c>
      <c r="CE52" s="95">
        <f t="shared" si="756"/>
        <v>-10625</v>
      </c>
      <c r="CF52" s="95">
        <f t="shared" si="756"/>
        <v>-11687.5</v>
      </c>
      <c r="CG52" s="95">
        <f t="shared" si="756"/>
        <v>-12750</v>
      </c>
      <c r="CH52" s="95">
        <f t="shared" si="756"/>
        <v>-13812.5</v>
      </c>
      <c r="CI52" s="95">
        <f t="shared" si="756"/>
        <v>-14875</v>
      </c>
      <c r="CJ52" s="95">
        <f t="shared" si="756"/>
        <v>-15937.5</v>
      </c>
      <c r="CK52" s="95">
        <f t="shared" si="756"/>
        <v>-17000</v>
      </c>
      <c r="CL52" s="95">
        <f t="shared" si="756"/>
        <v>-18062.5</v>
      </c>
      <c r="CM52" s="95">
        <f t="shared" si="756"/>
        <v>-19125</v>
      </c>
      <c r="CN52" s="95">
        <f t="shared" si="756"/>
        <v>-20187.5</v>
      </c>
      <c r="CO52" s="95">
        <f t="shared" si="756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7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8"/>
        <v>0</v>
      </c>
      <c r="DB52" s="62">
        <f t="shared" si="759"/>
        <v>0</v>
      </c>
      <c r="DC52" s="62">
        <f t="shared" si="760"/>
        <v>0</v>
      </c>
      <c r="DD52" s="102">
        <f t="shared" si="761"/>
        <v>0</v>
      </c>
      <c r="DE52" s="31">
        <v>0</v>
      </c>
      <c r="DF52" s="31">
        <v>90</v>
      </c>
      <c r="DG52" s="31">
        <v>0</v>
      </c>
      <c r="DH52" s="48">
        <f t="shared" si="762"/>
        <v>0</v>
      </c>
      <c r="DI52" s="62">
        <v>2701</v>
      </c>
      <c r="DJ52" s="62">
        <v>78943.739999999991</v>
      </c>
      <c r="DK52" s="48">
        <f t="shared" si="763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64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65"/>
        <v>0</v>
      </c>
      <c r="DV52" s="62">
        <v>0</v>
      </c>
      <c r="DW52" s="62">
        <v>0</v>
      </c>
      <c r="DX52" s="62">
        <f t="shared" si="766"/>
        <v>0</v>
      </c>
      <c r="DY52" s="62">
        <f t="shared" si="767"/>
        <v>0</v>
      </c>
      <c r="DZ52" s="48">
        <f t="shared" si="768"/>
        <v>0</v>
      </c>
      <c r="EA52" s="62">
        <f t="shared" si="769"/>
        <v>0</v>
      </c>
      <c r="EB52" s="62">
        <f t="shared" si="770"/>
        <v>0</v>
      </c>
      <c r="EC52" s="48">
        <f t="shared" si="771"/>
        <v>0</v>
      </c>
      <c r="ED52" s="62">
        <f t="shared" si="772"/>
        <v>0</v>
      </c>
      <c r="EE52" s="62">
        <f t="shared" si="773"/>
        <v>0</v>
      </c>
      <c r="EF52" s="48">
        <f t="shared" si="774"/>
        <v>0</v>
      </c>
      <c r="EG52" s="62">
        <f t="shared" si="775"/>
        <v>3750</v>
      </c>
      <c r="EH52" s="62">
        <f t="shared" si="776"/>
        <v>109612.5</v>
      </c>
      <c r="EI52" s="48">
        <f t="shared" si="777"/>
        <v>0</v>
      </c>
      <c r="EJ52" s="62">
        <f t="shared" si="778"/>
        <v>0</v>
      </c>
      <c r="EK52" s="62">
        <f t="shared" si="779"/>
        <v>0</v>
      </c>
      <c r="EL52" s="48">
        <f t="shared" si="780"/>
        <v>0</v>
      </c>
      <c r="EM52" s="62">
        <f t="shared" si="781"/>
        <v>2625</v>
      </c>
      <c r="EN52" s="62">
        <f t="shared" si="782"/>
        <v>76728.75</v>
      </c>
      <c r="EO52" s="48">
        <f t="shared" si="783"/>
        <v>0</v>
      </c>
      <c r="EP52" s="62">
        <f t="shared" ref="EP52:EU54" si="789">BK52*$FH52</f>
        <v>0</v>
      </c>
      <c r="EQ52" s="62">
        <f t="shared" si="789"/>
        <v>0</v>
      </c>
      <c r="ER52" s="62">
        <f t="shared" si="789"/>
        <v>0</v>
      </c>
      <c r="ES52" s="62">
        <f t="shared" si="789"/>
        <v>36537.5</v>
      </c>
      <c r="ET52" s="62">
        <f t="shared" si="789"/>
        <v>0</v>
      </c>
      <c r="EU52" s="62">
        <f t="shared" si="789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84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 t="shared" si="57"/>
        <v>0</v>
      </c>
      <c r="FS52" s="103" t="b">
        <f t="shared" si="58"/>
        <v>0</v>
      </c>
      <c r="FT52" s="103" t="b">
        <f t="shared" si="59"/>
        <v>0</v>
      </c>
      <c r="FU52" s="103" t="b">
        <f t="shared" si="60"/>
        <v>0</v>
      </c>
      <c r="FV52" s="103" t="b">
        <f t="shared" si="61"/>
        <v>1</v>
      </c>
      <c r="FW52" s="104" t="b">
        <f t="shared" si="66"/>
        <v>0</v>
      </c>
      <c r="FX52" s="120" t="b">
        <f t="shared" si="785"/>
        <v>1</v>
      </c>
      <c r="FY52" s="104" t="s">
        <v>214</v>
      </c>
      <c r="FZ52" s="104" t="b">
        <f t="shared" si="786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7"/>
        <v>1</v>
      </c>
      <c r="GI52" s="8" t="b">
        <f t="shared" si="788"/>
        <v>0</v>
      </c>
    </row>
    <row r="53" spans="1:191" s="31" customFormat="1" hidden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32"/>
        <v>нет минмакс</v>
      </c>
      <c r="Q53" s="95">
        <v>0</v>
      </c>
      <c r="R53" s="95">
        <f t="shared" si="733"/>
        <v>0</v>
      </c>
      <c r="S53" s="112">
        <v>0</v>
      </c>
      <c r="T53" s="112">
        <v>0</v>
      </c>
      <c r="U53" s="112">
        <f t="shared" si="734"/>
        <v>0</v>
      </c>
      <c r="V53" s="113">
        <f t="shared" si="735"/>
        <v>0</v>
      </c>
      <c r="W53" s="113">
        <f t="shared" si="736"/>
        <v>0</v>
      </c>
      <c r="X53" s="113">
        <f t="shared" si="737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8"/>
        <v>0</v>
      </c>
      <c r="AF53" s="95">
        <f t="shared" si="739"/>
        <v>0</v>
      </c>
      <c r="AG53" s="114">
        <v>0</v>
      </c>
      <c r="AH53" s="95">
        <f t="shared" si="740"/>
        <v>0</v>
      </c>
      <c r="AI53" s="115">
        <f t="shared" si="741"/>
        <v>0</v>
      </c>
      <c r="AJ53" s="95">
        <f t="shared" si="742"/>
        <v>0</v>
      </c>
      <c r="AK53" s="95">
        <f t="shared" si="743"/>
        <v>0</v>
      </c>
      <c r="AL53" s="95">
        <f t="shared" si="744"/>
        <v>614</v>
      </c>
      <c r="AM53" s="95">
        <f t="shared" si="745"/>
        <v>531.25</v>
      </c>
      <c r="AN53" s="95">
        <f t="shared" si="746"/>
        <v>0</v>
      </c>
      <c r="AO53" s="95" t="str">
        <f t="shared" si="747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8"/>
        <v>нет остатка</v>
      </c>
      <c r="AW53" s="117">
        <f t="shared" si="749"/>
        <v>0</v>
      </c>
      <c r="AX53" s="118"/>
      <c r="AY53" s="25">
        <f t="shared" si="750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51"/>
        <v>0</v>
      </c>
      <c r="BG53" s="29">
        <v>0</v>
      </c>
      <c r="BH53" s="29">
        <f t="shared" si="752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53"/>
        <v>265.625</v>
      </c>
      <c r="BR53" s="95">
        <f t="shared" si="754"/>
        <v>0</v>
      </c>
      <c r="BS53" s="95">
        <f t="shared" si="755"/>
        <v>0</v>
      </c>
      <c r="BT53" s="95">
        <f t="shared" si="755"/>
        <v>0</v>
      </c>
      <c r="BU53" s="95">
        <f t="shared" si="755"/>
        <v>-312.5</v>
      </c>
      <c r="BV53" s="95">
        <f t="shared" si="755"/>
        <v>-312.5</v>
      </c>
      <c r="BW53" s="95">
        <f t="shared" si="755"/>
        <v>-531.25</v>
      </c>
      <c r="BX53" s="95">
        <f t="shared" si="756"/>
        <v>-796.875</v>
      </c>
      <c r="BY53" s="95">
        <f t="shared" si="756"/>
        <v>-1062.5</v>
      </c>
      <c r="BZ53" s="95">
        <f t="shared" si="756"/>
        <v>-1328.125</v>
      </c>
      <c r="CA53" s="95">
        <f t="shared" si="756"/>
        <v>-1593.75</v>
      </c>
      <c r="CB53" s="95">
        <f t="shared" si="756"/>
        <v>-1859.375</v>
      </c>
      <c r="CC53" s="95">
        <f t="shared" si="756"/>
        <v>-2125</v>
      </c>
      <c r="CD53" s="95">
        <f t="shared" si="756"/>
        <v>-2390.625</v>
      </c>
      <c r="CE53" s="95">
        <f t="shared" si="756"/>
        <v>-2656.25</v>
      </c>
      <c r="CF53" s="95">
        <f t="shared" si="756"/>
        <v>-2921.875</v>
      </c>
      <c r="CG53" s="95">
        <f t="shared" si="756"/>
        <v>-3187.5</v>
      </c>
      <c r="CH53" s="95">
        <f t="shared" si="756"/>
        <v>-3453.125</v>
      </c>
      <c r="CI53" s="95">
        <f t="shared" si="756"/>
        <v>-3718.75</v>
      </c>
      <c r="CJ53" s="95">
        <f t="shared" si="756"/>
        <v>-3984.375</v>
      </c>
      <c r="CK53" s="95">
        <f t="shared" si="756"/>
        <v>-4250</v>
      </c>
      <c r="CL53" s="95">
        <f t="shared" si="756"/>
        <v>-4515.625</v>
      </c>
      <c r="CM53" s="95">
        <f t="shared" si="756"/>
        <v>-4781.25</v>
      </c>
      <c r="CN53" s="95">
        <f t="shared" si="756"/>
        <v>-5046.875</v>
      </c>
      <c r="CO53" s="95">
        <f t="shared" si="756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7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8"/>
        <v>0</v>
      </c>
      <c r="DB53" s="62">
        <f t="shared" si="759"/>
        <v>0</v>
      </c>
      <c r="DC53" s="62">
        <f t="shared" si="760"/>
        <v>0</v>
      </c>
      <c r="DD53" s="102">
        <f t="shared" si="761"/>
        <v>0</v>
      </c>
      <c r="DE53" s="31">
        <v>0</v>
      </c>
      <c r="DF53" s="31">
        <v>90</v>
      </c>
      <c r="DG53" s="31">
        <v>0</v>
      </c>
      <c r="DH53" s="48">
        <f t="shared" si="762"/>
        <v>0</v>
      </c>
      <c r="DI53" s="62">
        <v>614</v>
      </c>
      <c r="DJ53" s="62">
        <v>13646.39</v>
      </c>
      <c r="DK53" s="48">
        <f t="shared" si="763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64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65"/>
        <v>0</v>
      </c>
      <c r="DV53" s="62">
        <v>0</v>
      </c>
      <c r="DW53" s="62">
        <v>0</v>
      </c>
      <c r="DX53" s="62">
        <f t="shared" si="766"/>
        <v>0</v>
      </c>
      <c r="DY53" s="62">
        <f t="shared" si="767"/>
        <v>0</v>
      </c>
      <c r="DZ53" s="48">
        <f t="shared" si="768"/>
        <v>0</v>
      </c>
      <c r="EA53" s="62">
        <f t="shared" si="769"/>
        <v>0</v>
      </c>
      <c r="EB53" s="62">
        <f t="shared" si="770"/>
        <v>0</v>
      </c>
      <c r="EC53" s="48">
        <f t="shared" si="771"/>
        <v>0</v>
      </c>
      <c r="ED53" s="62">
        <f t="shared" si="772"/>
        <v>0</v>
      </c>
      <c r="EE53" s="62">
        <f t="shared" si="773"/>
        <v>0</v>
      </c>
      <c r="EF53" s="48">
        <f t="shared" si="774"/>
        <v>0</v>
      </c>
      <c r="EG53" s="62">
        <f t="shared" si="775"/>
        <v>937.5</v>
      </c>
      <c r="EH53" s="62">
        <f t="shared" si="776"/>
        <v>20840.625</v>
      </c>
      <c r="EI53" s="48">
        <f t="shared" si="777"/>
        <v>0</v>
      </c>
      <c r="EJ53" s="62">
        <f t="shared" si="778"/>
        <v>0</v>
      </c>
      <c r="EK53" s="62">
        <f t="shared" si="779"/>
        <v>0</v>
      </c>
      <c r="EL53" s="48">
        <f t="shared" si="780"/>
        <v>0</v>
      </c>
      <c r="EM53" s="62">
        <f t="shared" si="781"/>
        <v>656.25</v>
      </c>
      <c r="EN53" s="62">
        <f t="shared" si="782"/>
        <v>14588.4375</v>
      </c>
      <c r="EO53" s="48">
        <f t="shared" si="783"/>
        <v>0</v>
      </c>
      <c r="EP53" s="62">
        <f t="shared" si="789"/>
        <v>0</v>
      </c>
      <c r="EQ53" s="62">
        <f t="shared" si="789"/>
        <v>0</v>
      </c>
      <c r="ER53" s="62">
        <f t="shared" si="789"/>
        <v>0</v>
      </c>
      <c r="ES53" s="62">
        <f t="shared" si="789"/>
        <v>6946.875</v>
      </c>
      <c r="ET53" s="62">
        <f t="shared" si="789"/>
        <v>0</v>
      </c>
      <c r="EU53" s="62">
        <f t="shared" si="789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84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 t="shared" si="57"/>
        <v>0</v>
      </c>
      <c r="FS53" s="103" t="b">
        <f t="shared" si="58"/>
        <v>0</v>
      </c>
      <c r="FT53" s="103" t="b">
        <f t="shared" si="59"/>
        <v>0</v>
      </c>
      <c r="FU53" s="103" t="b">
        <f t="shared" si="60"/>
        <v>0</v>
      </c>
      <c r="FV53" s="103" t="b">
        <f t="shared" si="61"/>
        <v>1</v>
      </c>
      <c r="FW53" s="104" t="b">
        <f t="shared" si="66"/>
        <v>0</v>
      </c>
      <c r="FX53" s="120" t="b">
        <f t="shared" si="785"/>
        <v>1</v>
      </c>
      <c r="FY53" s="104" t="s">
        <v>214</v>
      </c>
      <c r="FZ53" s="104" t="b">
        <f t="shared" si="786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7"/>
        <v>1</v>
      </c>
      <c r="GI53" s="8" t="b">
        <f t="shared" si="788"/>
        <v>0</v>
      </c>
    </row>
    <row r="54" spans="1:191" s="31" customFormat="1" hidden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32"/>
        <v>нет минмакс</v>
      </c>
      <c r="Q54" s="95">
        <v>0</v>
      </c>
      <c r="R54" s="95">
        <f t="shared" si="733"/>
        <v>0</v>
      </c>
      <c r="S54" s="112">
        <v>0</v>
      </c>
      <c r="T54" s="112">
        <v>0</v>
      </c>
      <c r="U54" s="112">
        <f t="shared" si="734"/>
        <v>0</v>
      </c>
      <c r="V54" s="113">
        <f t="shared" si="735"/>
        <v>0</v>
      </c>
      <c r="W54" s="113">
        <f t="shared" si="736"/>
        <v>0</v>
      </c>
      <c r="X54" s="113">
        <f t="shared" si="737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8"/>
        <v>0</v>
      </c>
      <c r="AF54" s="95">
        <f t="shared" si="739"/>
        <v>0</v>
      </c>
      <c r="AG54" s="114">
        <v>0</v>
      </c>
      <c r="AH54" s="95">
        <f t="shared" si="740"/>
        <v>0</v>
      </c>
      <c r="AI54" s="115">
        <f t="shared" si="741"/>
        <v>0</v>
      </c>
      <c r="AJ54" s="95">
        <f t="shared" si="742"/>
        <v>0</v>
      </c>
      <c r="AK54" s="95">
        <f t="shared" si="743"/>
        <v>0</v>
      </c>
      <c r="AL54" s="95">
        <f t="shared" si="744"/>
        <v>2701</v>
      </c>
      <c r="AM54" s="95">
        <f t="shared" si="745"/>
        <v>2125</v>
      </c>
      <c r="AN54" s="95">
        <f t="shared" si="746"/>
        <v>0</v>
      </c>
      <c r="AO54" s="95" t="str">
        <f t="shared" si="747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8"/>
        <v>нет остатка</v>
      </c>
      <c r="AW54" s="117">
        <f t="shared" si="749"/>
        <v>0</v>
      </c>
      <c r="AX54" s="118"/>
      <c r="AY54" s="25">
        <f t="shared" si="750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51"/>
        <v>0</v>
      </c>
      <c r="BG54" s="29">
        <v>0</v>
      </c>
      <c r="BH54" s="29">
        <f t="shared" si="752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53"/>
        <v>1062.5</v>
      </c>
      <c r="BR54" s="95">
        <f t="shared" si="754"/>
        <v>0</v>
      </c>
      <c r="BS54" s="95">
        <f t="shared" si="755"/>
        <v>0</v>
      </c>
      <c r="BT54" s="95">
        <f t="shared" si="755"/>
        <v>0</v>
      </c>
      <c r="BU54" s="95">
        <f t="shared" si="755"/>
        <v>-1250</v>
      </c>
      <c r="BV54" s="95">
        <f t="shared" si="755"/>
        <v>-1250</v>
      </c>
      <c r="BW54" s="95">
        <f t="shared" si="755"/>
        <v>-2125</v>
      </c>
      <c r="BX54" s="95">
        <f t="shared" si="756"/>
        <v>-3187.5</v>
      </c>
      <c r="BY54" s="95">
        <f t="shared" si="756"/>
        <v>-4250</v>
      </c>
      <c r="BZ54" s="95">
        <f t="shared" si="756"/>
        <v>-5312.5</v>
      </c>
      <c r="CA54" s="95">
        <f t="shared" si="756"/>
        <v>-6375</v>
      </c>
      <c r="CB54" s="95">
        <f t="shared" si="756"/>
        <v>-7437.5</v>
      </c>
      <c r="CC54" s="95">
        <f t="shared" si="756"/>
        <v>-8500</v>
      </c>
      <c r="CD54" s="95">
        <f t="shared" si="756"/>
        <v>-9562.5</v>
      </c>
      <c r="CE54" s="95">
        <f t="shared" si="756"/>
        <v>-10625</v>
      </c>
      <c r="CF54" s="95">
        <f t="shared" si="756"/>
        <v>-11687.5</v>
      </c>
      <c r="CG54" s="95">
        <f t="shared" si="756"/>
        <v>-12750</v>
      </c>
      <c r="CH54" s="95">
        <f t="shared" si="756"/>
        <v>-13812.5</v>
      </c>
      <c r="CI54" s="95">
        <f t="shared" si="756"/>
        <v>-14875</v>
      </c>
      <c r="CJ54" s="95">
        <f t="shared" si="756"/>
        <v>-15937.5</v>
      </c>
      <c r="CK54" s="95">
        <f t="shared" si="756"/>
        <v>-17000</v>
      </c>
      <c r="CL54" s="95">
        <f t="shared" si="756"/>
        <v>-18062.5</v>
      </c>
      <c r="CM54" s="95">
        <f t="shared" si="756"/>
        <v>-19125</v>
      </c>
      <c r="CN54" s="95">
        <f t="shared" si="756"/>
        <v>-20187.5</v>
      </c>
      <c r="CO54" s="95">
        <f t="shared" si="756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7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8"/>
        <v>0</v>
      </c>
      <c r="DB54" s="62">
        <f t="shared" si="759"/>
        <v>0</v>
      </c>
      <c r="DC54" s="62">
        <f t="shared" si="760"/>
        <v>0</v>
      </c>
      <c r="DD54" s="102">
        <f t="shared" si="761"/>
        <v>0</v>
      </c>
      <c r="DE54" s="31">
        <v>0</v>
      </c>
      <c r="DF54" s="31">
        <v>90</v>
      </c>
      <c r="DG54" s="31">
        <v>0</v>
      </c>
      <c r="DH54" s="48">
        <f t="shared" si="762"/>
        <v>0</v>
      </c>
      <c r="DI54" s="62">
        <v>2701</v>
      </c>
      <c r="DJ54" s="62">
        <v>78943.739999999991</v>
      </c>
      <c r="DK54" s="48">
        <f t="shared" si="763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64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65"/>
        <v>0</v>
      </c>
      <c r="DV54" s="62">
        <v>0</v>
      </c>
      <c r="DW54" s="62">
        <v>0</v>
      </c>
      <c r="DX54" s="62">
        <f t="shared" si="766"/>
        <v>0</v>
      </c>
      <c r="DY54" s="62">
        <f t="shared" si="767"/>
        <v>0</v>
      </c>
      <c r="DZ54" s="48">
        <f t="shared" si="768"/>
        <v>0</v>
      </c>
      <c r="EA54" s="62">
        <f t="shared" si="769"/>
        <v>0</v>
      </c>
      <c r="EB54" s="62">
        <f t="shared" si="770"/>
        <v>0</v>
      </c>
      <c r="EC54" s="48">
        <f t="shared" si="771"/>
        <v>0</v>
      </c>
      <c r="ED54" s="62">
        <f t="shared" si="772"/>
        <v>0</v>
      </c>
      <c r="EE54" s="62">
        <f t="shared" si="773"/>
        <v>0</v>
      </c>
      <c r="EF54" s="48">
        <f t="shared" si="774"/>
        <v>0</v>
      </c>
      <c r="EG54" s="62">
        <f t="shared" si="775"/>
        <v>3750</v>
      </c>
      <c r="EH54" s="62">
        <f t="shared" si="776"/>
        <v>109612.5</v>
      </c>
      <c r="EI54" s="48">
        <f t="shared" si="777"/>
        <v>0</v>
      </c>
      <c r="EJ54" s="62">
        <f t="shared" si="778"/>
        <v>0</v>
      </c>
      <c r="EK54" s="62">
        <f t="shared" si="779"/>
        <v>0</v>
      </c>
      <c r="EL54" s="48">
        <f t="shared" si="780"/>
        <v>0</v>
      </c>
      <c r="EM54" s="62">
        <f t="shared" si="781"/>
        <v>2625</v>
      </c>
      <c r="EN54" s="62">
        <f t="shared" si="782"/>
        <v>76728.75</v>
      </c>
      <c r="EO54" s="48">
        <f t="shared" si="783"/>
        <v>0</v>
      </c>
      <c r="EP54" s="62">
        <f t="shared" si="789"/>
        <v>0</v>
      </c>
      <c r="EQ54" s="62">
        <f t="shared" si="789"/>
        <v>0</v>
      </c>
      <c r="ER54" s="62">
        <f t="shared" si="789"/>
        <v>0</v>
      </c>
      <c r="ES54" s="62">
        <f t="shared" si="789"/>
        <v>36537.5</v>
      </c>
      <c r="ET54" s="62">
        <f t="shared" si="789"/>
        <v>0</v>
      </c>
      <c r="EU54" s="62">
        <f t="shared" si="789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84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 t="shared" si="57"/>
        <v>0</v>
      </c>
      <c r="FS54" s="103" t="b">
        <f t="shared" si="58"/>
        <v>0</v>
      </c>
      <c r="FT54" s="103" t="b">
        <f t="shared" si="59"/>
        <v>0</v>
      </c>
      <c r="FU54" s="103" t="b">
        <f t="shared" si="60"/>
        <v>0</v>
      </c>
      <c r="FV54" s="103" t="b">
        <f t="shared" si="61"/>
        <v>1</v>
      </c>
      <c r="FW54" s="104" t="b">
        <f t="shared" si="66"/>
        <v>0</v>
      </c>
      <c r="FX54" s="120" t="b">
        <f t="shared" si="785"/>
        <v>1</v>
      </c>
      <c r="FY54" s="104" t="s">
        <v>214</v>
      </c>
      <c r="FZ54" s="104" t="b">
        <f t="shared" si="786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7"/>
        <v>1</v>
      </c>
      <c r="GI54" s="8" t="b">
        <f t="shared" si="788"/>
        <v>0</v>
      </c>
    </row>
    <row r="55" spans="1:191" s="31" customFormat="1" hidden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90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91">Q55*FH55</f>
        <v>509537.16</v>
      </c>
      <c r="S55" s="94">
        <v>3144</v>
      </c>
      <c r="T55" s="94">
        <v>598649.04</v>
      </c>
      <c r="U55" s="94">
        <f t="shared" ref="U55:U58" si="792">IFERROR(ROUNDUP(S55/$EX55,0)*$EY55,0)</f>
        <v>6</v>
      </c>
      <c r="V55" s="94">
        <f t="shared" ref="V55:V58" si="793">SUM(Z55:AD55)</f>
        <v>2676</v>
      </c>
      <c r="W55" s="94">
        <f t="shared" ref="W55:W58" si="794">V55*FH55</f>
        <v>509537.16</v>
      </c>
      <c r="X55" s="94">
        <f t="shared" ref="X55:X58" si="795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6">AA55*FH55</f>
        <v>0</v>
      </c>
      <c r="AF55" s="95">
        <f t="shared" ref="AF55:AF58" si="797">AB55*FH55</f>
        <v>0</v>
      </c>
      <c r="AG55" s="96">
        <v>0</v>
      </c>
      <c r="AH55" s="95">
        <f t="shared" ref="AH55:AH58" si="798">V55-AG55</f>
        <v>2676</v>
      </c>
      <c r="AI55" s="94">
        <f t="shared" ref="AI55:AI58" si="799">IF(AH55&gt;0,AH55*FH55,0)</f>
        <v>509537.16</v>
      </c>
      <c r="AJ55" s="94">
        <f t="shared" ref="AJ55:AJ58" si="800">CU55</f>
        <v>120</v>
      </c>
      <c r="AK55" s="94">
        <f t="shared" ref="AK55:AK58" si="801">SUM(CS55:CU55)</f>
        <v>468</v>
      </c>
      <c r="AL55" s="94">
        <f t="shared" ref="AL55:AL58" si="802">SUM(CP55:CU55)</f>
        <v>1824</v>
      </c>
      <c r="AM55" s="94">
        <f t="shared" ref="AM55:AM58" si="803">SUM(BK55:BP55)</f>
        <v>8200</v>
      </c>
      <c r="AN55" s="94">
        <f t="shared" ref="AN55:AN58" si="804">IFERROR(S55/BQ55*30,"нет оборота")</f>
        <v>69.014634146341464</v>
      </c>
      <c r="AO55" s="94" t="str">
        <f t="shared" ref="AO55:AO58" si="805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6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7">IF(AT55="Да",W55,0)</f>
        <v>509537.16</v>
      </c>
      <c r="AX55" s="14">
        <f>MONTH(BC55)-6</f>
        <v>3</v>
      </c>
      <c r="AY55" s="94">
        <f t="shared" ref="AY55:AY58" si="808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9">BE55*FH55</f>
        <v>0</v>
      </c>
      <c r="BG55" s="29">
        <v>0</v>
      </c>
      <c r="BH55" s="29">
        <f t="shared" ref="BH55:BH58" si="810">BG55*FH55</f>
        <v>0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11">IF(COUNTIF(BK55:BP55,"&gt;0")=0,0,SUM(BK55:BP55)/COUNTIF(BK55:BP55,"&gt;0"))</f>
        <v>1366.6666666666667</v>
      </c>
      <c r="BR55" s="95">
        <f t="shared" ref="BR55:BR58" si="812">IF(OR(Q55=0,SUM(BK55:BP55)=0,V55&gt;Q55),V55-BK55,Q55-BK55)</f>
        <v>876</v>
      </c>
      <c r="BS55" s="95">
        <f t="shared" ref="BS55:BW58" si="813">BR55-BL55</f>
        <v>376</v>
      </c>
      <c r="BT55" s="95">
        <f t="shared" si="813"/>
        <v>-124</v>
      </c>
      <c r="BU55" s="95">
        <f t="shared" si="813"/>
        <v>-1924</v>
      </c>
      <c r="BV55" s="95">
        <f t="shared" si="813"/>
        <v>-3724</v>
      </c>
      <c r="BW55" s="95">
        <f t="shared" si="813"/>
        <v>-5524</v>
      </c>
      <c r="BX55" s="95">
        <f t="shared" ref="BX55:CO58" si="814">BW55-$BQ55</f>
        <v>-6890.666666666667</v>
      </c>
      <c r="BY55" s="95">
        <f t="shared" si="814"/>
        <v>-8257.3333333333339</v>
      </c>
      <c r="BZ55" s="95">
        <f t="shared" si="814"/>
        <v>-9624</v>
      </c>
      <c r="CA55" s="95">
        <f t="shared" si="814"/>
        <v>-10990.666666666666</v>
      </c>
      <c r="CB55" s="95">
        <f t="shared" si="814"/>
        <v>-12357.333333333332</v>
      </c>
      <c r="CC55" s="95">
        <f t="shared" si="814"/>
        <v>-13723.999999999998</v>
      </c>
      <c r="CD55" s="95">
        <f t="shared" si="814"/>
        <v>-15090.666666666664</v>
      </c>
      <c r="CE55" s="95">
        <f t="shared" si="814"/>
        <v>-16457.333333333332</v>
      </c>
      <c r="CF55" s="95">
        <f t="shared" si="814"/>
        <v>-17824</v>
      </c>
      <c r="CG55" s="95">
        <f t="shared" si="814"/>
        <v>-19190.666666666668</v>
      </c>
      <c r="CH55" s="95">
        <f t="shared" si="814"/>
        <v>-20557.333333333336</v>
      </c>
      <c r="CI55" s="95">
        <f t="shared" si="814"/>
        <v>-21924.000000000004</v>
      </c>
      <c r="CJ55" s="95">
        <f t="shared" si="814"/>
        <v>-23290.666666666672</v>
      </c>
      <c r="CK55" s="95">
        <f t="shared" si="814"/>
        <v>-24657.333333333339</v>
      </c>
      <c r="CL55" s="95">
        <f t="shared" si="814"/>
        <v>-26024.000000000007</v>
      </c>
      <c r="CM55" s="95">
        <f t="shared" si="814"/>
        <v>-27390.666666666675</v>
      </c>
      <c r="CN55" s="95">
        <f t="shared" si="814"/>
        <v>-28757.333333333343</v>
      </c>
      <c r="CO55" s="95">
        <f t="shared" si="814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15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6">IFERROR(CZ55/CY55,0)</f>
        <v>0</v>
      </c>
      <c r="DB55" s="62">
        <f t="shared" ref="DB55:DB58" si="817">CY55*FH55</f>
        <v>342738</v>
      </c>
      <c r="DC55" s="62">
        <f t="shared" ref="DC55:DC58" si="818">CZ55*FH55</f>
        <v>0</v>
      </c>
      <c r="DD55" s="102">
        <f t="shared" ref="DD55:DD58" si="819">IFERROR(DC55/DB55,0)</f>
        <v>0</v>
      </c>
      <c r="DE55" s="31">
        <v>0</v>
      </c>
      <c r="DG55" s="31">
        <v>0</v>
      </c>
      <c r="DH55" s="48">
        <f t="shared" ref="DH55:DH58" si="820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21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22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23">IFERROR(ROUNDUP(DS55/$EX55,0)*$EY55,0)</f>
        <v>6</v>
      </c>
      <c r="DV55" s="62">
        <v>0</v>
      </c>
      <c r="DW55" s="62">
        <v>0</v>
      </c>
      <c r="DX55" s="62">
        <f t="shared" ref="DX55:DX58" si="824">$DF55*BK55/30</f>
        <v>0</v>
      </c>
      <c r="DY55" s="62">
        <f t="shared" ref="DY55:DY58" si="825">DX55*$FH55</f>
        <v>0</v>
      </c>
      <c r="DZ55" s="48">
        <f t="shared" ref="DZ55:DZ58" si="826">IFERROR(ROUNDUP(DX55/$EX55,0)*$EY55,0)</f>
        <v>0</v>
      </c>
      <c r="EA55" s="62">
        <f t="shared" ref="EA55:EA58" si="827">$DF55*BL55/30</f>
        <v>0</v>
      </c>
      <c r="EB55" s="62">
        <f t="shared" ref="EB55:EB58" si="828">EA55*$FH55</f>
        <v>0</v>
      </c>
      <c r="EC55" s="48">
        <f t="shared" ref="EC55:EC58" si="829">IFERROR(ROUNDUP(EA55/$EX55,0)*$EY55,0)</f>
        <v>0</v>
      </c>
      <c r="ED55" s="62">
        <f t="shared" ref="ED55:ED58" si="830">$DF55*BM55/30</f>
        <v>0</v>
      </c>
      <c r="EE55" s="62">
        <f t="shared" ref="EE55:EE58" si="831">ED55*$FH55</f>
        <v>0</v>
      </c>
      <c r="EF55" s="48">
        <f t="shared" ref="EF55:EF58" si="832">IFERROR(ROUNDUP(ED55/$EX55,0)*$EY55,0)</f>
        <v>0</v>
      </c>
      <c r="EG55" s="62">
        <f t="shared" ref="EG55:EG58" si="833">$DF55*BN55/30</f>
        <v>0</v>
      </c>
      <c r="EH55" s="62">
        <f t="shared" ref="EH55:EH58" si="834">EG55*$FH55</f>
        <v>0</v>
      </c>
      <c r="EI55" s="48">
        <f t="shared" ref="EI55:EI58" si="835">IFERROR(ROUNDUP(EG55/$EX55,0)*$EY55,0)</f>
        <v>0</v>
      </c>
      <c r="EJ55" s="62">
        <f t="shared" ref="EJ55:EJ58" si="836">$DF55*BO55/30</f>
        <v>0</v>
      </c>
      <c r="EK55" s="62">
        <f t="shared" ref="EK55:EK58" si="837">EJ55*$FH55</f>
        <v>0</v>
      </c>
      <c r="EL55" s="48">
        <f t="shared" ref="EL55:EL58" si="838">IFERROR(ROUNDUP(EJ55/$EX55,0)*$EY55,0)</f>
        <v>0</v>
      </c>
      <c r="EM55" s="62">
        <f t="shared" ref="EM55:EM58" si="839">$DF55*BP55/30</f>
        <v>0</v>
      </c>
      <c r="EN55" s="62">
        <f t="shared" ref="EN55:EN58" si="840">EM55*$FH55</f>
        <v>0</v>
      </c>
      <c r="EO55" s="48">
        <f t="shared" ref="EO55:EO58" si="841">IFERROR(ROUNDUP(EM55/$EX55,0)*$EY55,0)</f>
        <v>0</v>
      </c>
      <c r="EP55" s="62">
        <f t="shared" ref="EP55:ER58" si="842">BK55*$FH55</f>
        <v>342738</v>
      </c>
      <c r="EQ55" s="62">
        <f t="shared" si="842"/>
        <v>95205</v>
      </c>
      <c r="ER55" s="62">
        <f t="shared" si="842"/>
        <v>95205</v>
      </c>
      <c r="ES55" s="62">
        <f t="shared" ref="ES55:EU58" si="843">BN55*$FH55</f>
        <v>342738</v>
      </c>
      <c r="ET55" s="62">
        <f t="shared" si="843"/>
        <v>342738</v>
      </c>
      <c r="EU55" s="62">
        <f t="shared" si="843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44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 t="shared" si="57"/>
        <v>1</v>
      </c>
      <c r="FS55" s="104" t="b">
        <f t="shared" si="58"/>
        <v>1</v>
      </c>
      <c r="FT55" s="104" t="b">
        <f t="shared" si="59"/>
        <v>1</v>
      </c>
      <c r="FU55" s="104" t="b">
        <f t="shared" si="60"/>
        <v>0</v>
      </c>
      <c r="FV55" s="104" t="b">
        <f t="shared" si="61"/>
        <v>1</v>
      </c>
      <c r="FW55" s="104" t="b">
        <f t="shared" si="66"/>
        <v>0</v>
      </c>
      <c r="FX55" s="104" t="b">
        <f t="shared" ref="FX55:FX58" si="845">EXACT(FQ55,BI55)</f>
        <v>1</v>
      </c>
      <c r="FY55" s="104" t="s">
        <v>214</v>
      </c>
      <c r="FZ55" s="104" t="b">
        <f t="shared" ref="FZ55:FZ58" si="846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7">EXACT(GD55,C55)</f>
        <v>1</v>
      </c>
      <c r="GI55" s="108" t="b">
        <f t="shared" ref="GI55:GI58" si="848">EXACT(GG55,G55)</f>
        <v>0</v>
      </c>
    </row>
    <row r="56" spans="1:191" s="31" customFormat="1" hidden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90"/>
        <v>нет минмакс</v>
      </c>
      <c r="Q56" s="95">
        <v>292</v>
      </c>
      <c r="R56" s="95">
        <f t="shared" si="791"/>
        <v>5898.4</v>
      </c>
      <c r="S56" s="112">
        <v>292</v>
      </c>
      <c r="T56" s="112">
        <v>5898.4</v>
      </c>
      <c r="U56" s="112">
        <f t="shared" si="792"/>
        <v>0</v>
      </c>
      <c r="V56" s="113">
        <f t="shared" si="793"/>
        <v>292</v>
      </c>
      <c r="W56" s="113">
        <f t="shared" si="794"/>
        <v>5898.4</v>
      </c>
      <c r="X56" s="113">
        <f t="shared" si="795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6"/>
        <v>0</v>
      </c>
      <c r="AF56" s="95">
        <f t="shared" si="797"/>
        <v>0</v>
      </c>
      <c r="AG56" s="114">
        <v>0</v>
      </c>
      <c r="AH56" s="95">
        <f t="shared" si="798"/>
        <v>292</v>
      </c>
      <c r="AI56" s="115">
        <f t="shared" si="799"/>
        <v>5898.4</v>
      </c>
      <c r="AJ56" s="95">
        <f t="shared" si="800"/>
        <v>0</v>
      </c>
      <c r="AK56" s="95">
        <f t="shared" si="801"/>
        <v>0</v>
      </c>
      <c r="AL56" s="95">
        <f t="shared" si="802"/>
        <v>158</v>
      </c>
      <c r="AM56" s="95">
        <f t="shared" si="803"/>
        <v>600</v>
      </c>
      <c r="AN56" s="95">
        <f t="shared" si="804"/>
        <v>29.200000000000003</v>
      </c>
      <c r="AO56" s="95" t="str">
        <f t="shared" si="805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6"/>
        <v>0-03</v>
      </c>
      <c r="AW56" s="117">
        <f t="shared" si="807"/>
        <v>0</v>
      </c>
      <c r="AX56" s="118"/>
      <c r="AY56" s="25">
        <f t="shared" si="808"/>
        <v>0</v>
      </c>
      <c r="AZ56" s="109" t="s">
        <v>1022</v>
      </c>
      <c r="BA56" s="26" t="s">
        <v>196</v>
      </c>
      <c r="BB56" s="26"/>
      <c r="BC56" s="27">
        <v>45870</v>
      </c>
      <c r="BD56" s="28"/>
      <c r="BE56" s="29">
        <v>0</v>
      </c>
      <c r="BF56" s="29">
        <f t="shared" si="809"/>
        <v>0</v>
      </c>
      <c r="BG56" s="29">
        <v>0</v>
      </c>
      <c r="BH56" s="29">
        <f t="shared" si="810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11"/>
        <v>300</v>
      </c>
      <c r="BR56" s="95">
        <f t="shared" si="812"/>
        <v>292</v>
      </c>
      <c r="BS56" s="95">
        <f t="shared" si="813"/>
        <v>292</v>
      </c>
      <c r="BT56" s="95">
        <f t="shared" si="813"/>
        <v>-158</v>
      </c>
      <c r="BU56" s="95">
        <f t="shared" si="813"/>
        <v>-158</v>
      </c>
      <c r="BV56" s="95">
        <f t="shared" si="813"/>
        <v>-158</v>
      </c>
      <c r="BW56" s="95">
        <f t="shared" si="813"/>
        <v>-308</v>
      </c>
      <c r="BX56" s="95">
        <f t="shared" si="814"/>
        <v>-608</v>
      </c>
      <c r="BY56" s="95">
        <f t="shared" si="814"/>
        <v>-908</v>
      </c>
      <c r="BZ56" s="95">
        <f t="shared" si="814"/>
        <v>-1208</v>
      </c>
      <c r="CA56" s="95">
        <f t="shared" si="814"/>
        <v>-1508</v>
      </c>
      <c r="CB56" s="95">
        <f t="shared" si="814"/>
        <v>-1808</v>
      </c>
      <c r="CC56" s="95">
        <f t="shared" si="814"/>
        <v>-2108</v>
      </c>
      <c r="CD56" s="95">
        <f t="shared" si="814"/>
        <v>-2408</v>
      </c>
      <c r="CE56" s="95">
        <f t="shared" si="814"/>
        <v>-2708</v>
      </c>
      <c r="CF56" s="95">
        <f t="shared" si="814"/>
        <v>-3008</v>
      </c>
      <c r="CG56" s="95">
        <f t="shared" si="814"/>
        <v>-3308</v>
      </c>
      <c r="CH56" s="95">
        <f t="shared" si="814"/>
        <v>-3608</v>
      </c>
      <c r="CI56" s="95">
        <f t="shared" si="814"/>
        <v>-3908</v>
      </c>
      <c r="CJ56" s="95">
        <f t="shared" si="814"/>
        <v>-4208</v>
      </c>
      <c r="CK56" s="95">
        <f t="shared" si="814"/>
        <v>-4508</v>
      </c>
      <c r="CL56" s="95">
        <f t="shared" si="814"/>
        <v>-4808</v>
      </c>
      <c r="CM56" s="95">
        <f t="shared" si="814"/>
        <v>-5108</v>
      </c>
      <c r="CN56" s="95">
        <f t="shared" si="814"/>
        <v>-5408</v>
      </c>
      <c r="CO56" s="95">
        <f t="shared" si="814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15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6"/>
        <v>0</v>
      </c>
      <c r="DB56" s="62">
        <f t="shared" si="817"/>
        <v>0</v>
      </c>
      <c r="DC56" s="62">
        <f t="shared" si="818"/>
        <v>0</v>
      </c>
      <c r="DD56" s="102">
        <f t="shared" si="819"/>
        <v>0</v>
      </c>
      <c r="DE56" s="31">
        <v>0</v>
      </c>
      <c r="DF56" s="31">
        <v>90</v>
      </c>
      <c r="DG56" s="31">
        <v>0</v>
      </c>
      <c r="DH56" s="48">
        <f t="shared" si="820"/>
        <v>0</v>
      </c>
      <c r="DI56" s="62">
        <v>445.12900000000002</v>
      </c>
      <c r="DJ56" s="62">
        <v>8993.6540000000005</v>
      </c>
      <c r="DK56" s="48">
        <f t="shared" si="821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22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23"/>
        <v>0</v>
      </c>
      <c r="DV56" s="62">
        <v>0</v>
      </c>
      <c r="DW56" s="62">
        <v>0</v>
      </c>
      <c r="DX56" s="62">
        <f t="shared" si="824"/>
        <v>0</v>
      </c>
      <c r="DY56" s="62">
        <f t="shared" si="825"/>
        <v>0</v>
      </c>
      <c r="DZ56" s="48">
        <f t="shared" si="826"/>
        <v>0</v>
      </c>
      <c r="EA56" s="62">
        <f t="shared" si="827"/>
        <v>0</v>
      </c>
      <c r="EB56" s="62">
        <f t="shared" si="828"/>
        <v>0</v>
      </c>
      <c r="EC56" s="48">
        <f t="shared" si="829"/>
        <v>0</v>
      </c>
      <c r="ED56" s="62">
        <f t="shared" si="830"/>
        <v>1350</v>
      </c>
      <c r="EE56" s="62">
        <f t="shared" si="831"/>
        <v>27270</v>
      </c>
      <c r="EF56" s="48">
        <f t="shared" si="832"/>
        <v>0</v>
      </c>
      <c r="EG56" s="62">
        <f t="shared" si="833"/>
        <v>0</v>
      </c>
      <c r="EH56" s="62">
        <f t="shared" si="834"/>
        <v>0</v>
      </c>
      <c r="EI56" s="48">
        <f t="shared" si="835"/>
        <v>0</v>
      </c>
      <c r="EJ56" s="62">
        <f t="shared" si="836"/>
        <v>0</v>
      </c>
      <c r="EK56" s="62">
        <f t="shared" si="837"/>
        <v>0</v>
      </c>
      <c r="EL56" s="48">
        <f t="shared" si="838"/>
        <v>0</v>
      </c>
      <c r="EM56" s="62">
        <f t="shared" si="839"/>
        <v>450</v>
      </c>
      <c r="EN56" s="62">
        <f t="shared" si="840"/>
        <v>9090</v>
      </c>
      <c r="EO56" s="48">
        <f t="shared" si="841"/>
        <v>0</v>
      </c>
      <c r="EP56" s="62">
        <f t="shared" si="842"/>
        <v>0</v>
      </c>
      <c r="EQ56" s="62">
        <f t="shared" si="842"/>
        <v>0</v>
      </c>
      <c r="ER56" s="62">
        <f t="shared" si="842"/>
        <v>9090</v>
      </c>
      <c r="ES56" s="62">
        <f t="shared" si="843"/>
        <v>0</v>
      </c>
      <c r="ET56" s="62">
        <f t="shared" si="843"/>
        <v>0</v>
      </c>
      <c r="EU56" s="62">
        <f t="shared" si="843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44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 t="shared" si="57"/>
        <v>1</v>
      </c>
      <c r="FS56" s="103" t="b">
        <f t="shared" si="58"/>
        <v>0</v>
      </c>
      <c r="FT56" s="103" t="b">
        <f t="shared" si="59"/>
        <v>1</v>
      </c>
      <c r="FU56" s="103" t="b">
        <f t="shared" si="60"/>
        <v>0</v>
      </c>
      <c r="FV56" s="103" t="b">
        <f t="shared" si="61"/>
        <v>1</v>
      </c>
      <c r="FW56" s="104" t="b">
        <f t="shared" si="66"/>
        <v>0</v>
      </c>
      <c r="FX56" s="120" t="b">
        <f t="shared" si="845"/>
        <v>1</v>
      </c>
      <c r="FY56" s="104" t="s">
        <v>214</v>
      </c>
      <c r="FZ56" s="104" t="b">
        <f t="shared" si="846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7"/>
        <v>1</v>
      </c>
      <c r="GI56" s="8" t="b">
        <f t="shared" si="848"/>
        <v>0</v>
      </c>
    </row>
    <row r="57" spans="1:191" s="31" customFormat="1" hidden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90"/>
        <v>нет минмакс</v>
      </c>
      <c r="Q57" s="95">
        <v>455</v>
      </c>
      <c r="R57" s="95">
        <f t="shared" si="791"/>
        <v>4600.05</v>
      </c>
      <c r="S57" s="112">
        <v>455</v>
      </c>
      <c r="T57" s="112">
        <v>4600.05</v>
      </c>
      <c r="U57" s="112">
        <f t="shared" si="792"/>
        <v>0</v>
      </c>
      <c r="V57" s="113">
        <f t="shared" si="793"/>
        <v>455</v>
      </c>
      <c r="W57" s="113">
        <f t="shared" si="794"/>
        <v>4600.05</v>
      </c>
      <c r="X57" s="113">
        <f t="shared" si="795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6"/>
        <v>0</v>
      </c>
      <c r="AF57" s="95">
        <f t="shared" si="797"/>
        <v>0</v>
      </c>
      <c r="AG57" s="114">
        <v>0</v>
      </c>
      <c r="AH57" s="95">
        <f t="shared" si="798"/>
        <v>455</v>
      </c>
      <c r="AI57" s="115">
        <f t="shared" si="799"/>
        <v>4600.05</v>
      </c>
      <c r="AJ57" s="95">
        <f t="shared" si="800"/>
        <v>0</v>
      </c>
      <c r="AK57" s="95">
        <f t="shared" si="801"/>
        <v>0</v>
      </c>
      <c r="AL57" s="95">
        <f t="shared" si="802"/>
        <v>1827</v>
      </c>
      <c r="AM57" s="95">
        <f t="shared" si="803"/>
        <v>7200</v>
      </c>
      <c r="AN57" s="95">
        <f t="shared" si="804"/>
        <v>3.7916666666666665</v>
      </c>
      <c r="AO57" s="95" t="str">
        <f t="shared" si="805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6"/>
        <v>0-03</v>
      </c>
      <c r="AW57" s="117">
        <f t="shared" si="807"/>
        <v>0</v>
      </c>
      <c r="AX57" s="118"/>
      <c r="AY57" s="25">
        <f t="shared" si="808"/>
        <v>0</v>
      </c>
      <c r="AZ57" s="109" t="s">
        <v>1022</v>
      </c>
      <c r="BA57" s="26" t="s">
        <v>196</v>
      </c>
      <c r="BB57" s="26"/>
      <c r="BC57" s="27">
        <v>45870</v>
      </c>
      <c r="BD57" s="28"/>
      <c r="BE57" s="29">
        <v>0</v>
      </c>
      <c r="BF57" s="29">
        <f t="shared" si="809"/>
        <v>0</v>
      </c>
      <c r="BG57" s="29">
        <v>0</v>
      </c>
      <c r="BH57" s="29">
        <f t="shared" si="810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11"/>
        <v>3600</v>
      </c>
      <c r="BR57" s="95">
        <f t="shared" si="812"/>
        <v>455</v>
      </c>
      <c r="BS57" s="95">
        <f t="shared" si="813"/>
        <v>455</v>
      </c>
      <c r="BT57" s="95">
        <f t="shared" si="813"/>
        <v>-4945</v>
      </c>
      <c r="BU57" s="95">
        <f t="shared" si="813"/>
        <v>-4945</v>
      </c>
      <c r="BV57" s="95">
        <f t="shared" si="813"/>
        <v>-4945</v>
      </c>
      <c r="BW57" s="95">
        <f t="shared" si="813"/>
        <v>-6745</v>
      </c>
      <c r="BX57" s="95">
        <f t="shared" si="814"/>
        <v>-10345</v>
      </c>
      <c r="BY57" s="95">
        <f t="shared" si="814"/>
        <v>-13945</v>
      </c>
      <c r="BZ57" s="95">
        <f t="shared" si="814"/>
        <v>-17545</v>
      </c>
      <c r="CA57" s="95">
        <f t="shared" si="814"/>
        <v>-21145</v>
      </c>
      <c r="CB57" s="95">
        <f t="shared" si="814"/>
        <v>-24745</v>
      </c>
      <c r="CC57" s="95">
        <f t="shared" si="814"/>
        <v>-28345</v>
      </c>
      <c r="CD57" s="95">
        <f t="shared" si="814"/>
        <v>-31945</v>
      </c>
      <c r="CE57" s="95">
        <f t="shared" si="814"/>
        <v>-35545</v>
      </c>
      <c r="CF57" s="95">
        <f t="shared" si="814"/>
        <v>-39145</v>
      </c>
      <c r="CG57" s="95">
        <f t="shared" si="814"/>
        <v>-42745</v>
      </c>
      <c r="CH57" s="95">
        <f t="shared" si="814"/>
        <v>-46345</v>
      </c>
      <c r="CI57" s="95">
        <f t="shared" si="814"/>
        <v>-49945</v>
      </c>
      <c r="CJ57" s="95">
        <f t="shared" si="814"/>
        <v>-53545</v>
      </c>
      <c r="CK57" s="95">
        <f t="shared" si="814"/>
        <v>-57145</v>
      </c>
      <c r="CL57" s="95">
        <f t="shared" si="814"/>
        <v>-60745</v>
      </c>
      <c r="CM57" s="95">
        <f t="shared" si="814"/>
        <v>-64345</v>
      </c>
      <c r="CN57" s="95">
        <f t="shared" si="814"/>
        <v>-67945</v>
      </c>
      <c r="CO57" s="95">
        <f t="shared" si="814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15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6"/>
        <v>0</v>
      </c>
      <c r="DB57" s="62">
        <f t="shared" si="817"/>
        <v>0</v>
      </c>
      <c r="DC57" s="62">
        <f t="shared" si="818"/>
        <v>0</v>
      </c>
      <c r="DD57" s="102">
        <f t="shared" si="819"/>
        <v>0</v>
      </c>
      <c r="DE57" s="31">
        <v>0</v>
      </c>
      <c r="DF57" s="31">
        <v>90</v>
      </c>
      <c r="DG57" s="31">
        <v>0</v>
      </c>
      <c r="DH57" s="48">
        <f t="shared" si="820"/>
        <v>0</v>
      </c>
      <c r="DI57" s="62">
        <v>2223.0639999999999</v>
      </c>
      <c r="DJ57" s="62">
        <v>22472.541999999998</v>
      </c>
      <c r="DK57" s="48">
        <f t="shared" si="821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22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23"/>
        <v>0</v>
      </c>
      <c r="DV57" s="62">
        <v>0</v>
      </c>
      <c r="DW57" s="62">
        <v>0</v>
      </c>
      <c r="DX57" s="62">
        <f t="shared" si="824"/>
        <v>0</v>
      </c>
      <c r="DY57" s="62">
        <f t="shared" si="825"/>
        <v>0</v>
      </c>
      <c r="DZ57" s="48">
        <f t="shared" si="826"/>
        <v>0</v>
      </c>
      <c r="EA57" s="62">
        <f t="shared" si="827"/>
        <v>0</v>
      </c>
      <c r="EB57" s="62">
        <f t="shared" si="828"/>
        <v>0</v>
      </c>
      <c r="EC57" s="48">
        <f t="shared" si="829"/>
        <v>0</v>
      </c>
      <c r="ED57" s="62">
        <f t="shared" si="830"/>
        <v>16200</v>
      </c>
      <c r="EE57" s="62">
        <f t="shared" si="831"/>
        <v>163782</v>
      </c>
      <c r="EF57" s="48">
        <f t="shared" si="832"/>
        <v>0</v>
      </c>
      <c r="EG57" s="62">
        <f t="shared" si="833"/>
        <v>0</v>
      </c>
      <c r="EH57" s="62">
        <f t="shared" si="834"/>
        <v>0</v>
      </c>
      <c r="EI57" s="48">
        <f t="shared" si="835"/>
        <v>0</v>
      </c>
      <c r="EJ57" s="62">
        <f t="shared" si="836"/>
        <v>0</v>
      </c>
      <c r="EK57" s="62">
        <f t="shared" si="837"/>
        <v>0</v>
      </c>
      <c r="EL57" s="48">
        <f t="shared" si="838"/>
        <v>0</v>
      </c>
      <c r="EM57" s="62">
        <f t="shared" si="839"/>
        <v>5400</v>
      </c>
      <c r="EN57" s="62">
        <f t="shared" si="840"/>
        <v>54594</v>
      </c>
      <c r="EO57" s="48">
        <f t="shared" si="841"/>
        <v>0</v>
      </c>
      <c r="EP57" s="62">
        <f t="shared" si="842"/>
        <v>0</v>
      </c>
      <c r="EQ57" s="62">
        <f t="shared" si="842"/>
        <v>0</v>
      </c>
      <c r="ER57" s="62">
        <f t="shared" si="842"/>
        <v>54594</v>
      </c>
      <c r="ES57" s="62">
        <f t="shared" si="843"/>
        <v>0</v>
      </c>
      <c r="ET57" s="62">
        <f t="shared" si="843"/>
        <v>0</v>
      </c>
      <c r="EU57" s="62">
        <f t="shared" si="843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44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 t="shared" si="57"/>
        <v>1</v>
      </c>
      <c r="FS57" s="103" t="b">
        <f t="shared" si="58"/>
        <v>0</v>
      </c>
      <c r="FT57" s="103" t="b">
        <f t="shared" si="59"/>
        <v>1</v>
      </c>
      <c r="FU57" s="103" t="b">
        <f t="shared" si="60"/>
        <v>0</v>
      </c>
      <c r="FV57" s="103" t="b">
        <f t="shared" si="61"/>
        <v>1</v>
      </c>
      <c r="FW57" s="104" t="b">
        <f t="shared" si="66"/>
        <v>0</v>
      </c>
      <c r="FX57" s="120" t="b">
        <f t="shared" si="845"/>
        <v>1</v>
      </c>
      <c r="FY57" s="104" t="s">
        <v>214</v>
      </c>
      <c r="FZ57" s="104" t="b">
        <f t="shared" si="846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7"/>
        <v>1</v>
      </c>
      <c r="GI57" s="8" t="b">
        <f t="shared" si="848"/>
        <v>0</v>
      </c>
    </row>
    <row r="58" spans="1:191" s="31" customFormat="1" hidden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90"/>
        <v>нет минмакс</v>
      </c>
      <c r="Q58" s="95">
        <v>435</v>
      </c>
      <c r="R58" s="95">
        <f t="shared" si="791"/>
        <v>4397.8499999999995</v>
      </c>
      <c r="S58" s="112">
        <v>435</v>
      </c>
      <c r="T58" s="112">
        <v>4397.8499999999995</v>
      </c>
      <c r="U58" s="112">
        <f t="shared" si="792"/>
        <v>0</v>
      </c>
      <c r="V58" s="113">
        <f t="shared" si="793"/>
        <v>435</v>
      </c>
      <c r="W58" s="113">
        <f t="shared" si="794"/>
        <v>4397.8499999999995</v>
      </c>
      <c r="X58" s="113">
        <f t="shared" si="795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6"/>
        <v>0</v>
      </c>
      <c r="AF58" s="95">
        <f t="shared" si="797"/>
        <v>0</v>
      </c>
      <c r="AG58" s="114">
        <v>0</v>
      </c>
      <c r="AH58" s="95">
        <f t="shared" si="798"/>
        <v>435</v>
      </c>
      <c r="AI58" s="115">
        <f t="shared" si="799"/>
        <v>4397.8499999999995</v>
      </c>
      <c r="AJ58" s="95">
        <f t="shared" si="800"/>
        <v>0</v>
      </c>
      <c r="AK58" s="95">
        <f t="shared" si="801"/>
        <v>0</v>
      </c>
      <c r="AL58" s="95">
        <f t="shared" si="802"/>
        <v>1848</v>
      </c>
      <c r="AM58" s="95">
        <f t="shared" si="803"/>
        <v>7200</v>
      </c>
      <c r="AN58" s="95">
        <f t="shared" si="804"/>
        <v>3.625</v>
      </c>
      <c r="AO58" s="95" t="str">
        <f t="shared" si="805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6"/>
        <v>0-03</v>
      </c>
      <c r="AW58" s="117">
        <f t="shared" si="807"/>
        <v>0</v>
      </c>
      <c r="AX58" s="118"/>
      <c r="AY58" s="25">
        <f t="shared" si="808"/>
        <v>0</v>
      </c>
      <c r="AZ58" s="109" t="s">
        <v>1022</v>
      </c>
      <c r="BA58" s="26" t="s">
        <v>196</v>
      </c>
      <c r="BB58" s="26"/>
      <c r="BC58" s="27">
        <v>45870</v>
      </c>
      <c r="BD58" s="28"/>
      <c r="BE58" s="29">
        <v>0</v>
      </c>
      <c r="BF58" s="29">
        <f t="shared" si="809"/>
        <v>0</v>
      </c>
      <c r="BG58" s="29">
        <v>0</v>
      </c>
      <c r="BH58" s="29">
        <f t="shared" si="810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11"/>
        <v>3600</v>
      </c>
      <c r="BR58" s="95">
        <f t="shared" si="812"/>
        <v>435</v>
      </c>
      <c r="BS58" s="95">
        <f t="shared" si="813"/>
        <v>435</v>
      </c>
      <c r="BT58" s="95">
        <f t="shared" si="813"/>
        <v>-4965</v>
      </c>
      <c r="BU58" s="95">
        <f t="shared" si="813"/>
        <v>-4965</v>
      </c>
      <c r="BV58" s="95">
        <f t="shared" si="813"/>
        <v>-4965</v>
      </c>
      <c r="BW58" s="95">
        <f t="shared" si="813"/>
        <v>-6765</v>
      </c>
      <c r="BX58" s="95">
        <f t="shared" si="814"/>
        <v>-10365</v>
      </c>
      <c r="BY58" s="95">
        <f t="shared" si="814"/>
        <v>-13965</v>
      </c>
      <c r="BZ58" s="95">
        <f t="shared" si="814"/>
        <v>-17565</v>
      </c>
      <c r="CA58" s="95">
        <f t="shared" si="814"/>
        <v>-21165</v>
      </c>
      <c r="CB58" s="95">
        <f t="shared" si="814"/>
        <v>-24765</v>
      </c>
      <c r="CC58" s="95">
        <f t="shared" si="814"/>
        <v>-28365</v>
      </c>
      <c r="CD58" s="95">
        <f t="shared" si="814"/>
        <v>-31965</v>
      </c>
      <c r="CE58" s="95">
        <f t="shared" si="814"/>
        <v>-35565</v>
      </c>
      <c r="CF58" s="95">
        <f t="shared" si="814"/>
        <v>-39165</v>
      </c>
      <c r="CG58" s="95">
        <f t="shared" si="814"/>
        <v>-42765</v>
      </c>
      <c r="CH58" s="95">
        <f t="shared" si="814"/>
        <v>-46365</v>
      </c>
      <c r="CI58" s="95">
        <f t="shared" si="814"/>
        <v>-49965</v>
      </c>
      <c r="CJ58" s="95">
        <f t="shared" si="814"/>
        <v>-53565</v>
      </c>
      <c r="CK58" s="95">
        <f t="shared" si="814"/>
        <v>-57165</v>
      </c>
      <c r="CL58" s="95">
        <f t="shared" si="814"/>
        <v>-60765</v>
      </c>
      <c r="CM58" s="95">
        <f t="shared" si="814"/>
        <v>-64365</v>
      </c>
      <c r="CN58" s="95">
        <f t="shared" si="814"/>
        <v>-67965</v>
      </c>
      <c r="CO58" s="95">
        <f t="shared" si="814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15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6"/>
        <v>0</v>
      </c>
      <c r="DB58" s="62">
        <f t="shared" si="817"/>
        <v>0</v>
      </c>
      <c r="DC58" s="62">
        <f t="shared" si="818"/>
        <v>0</v>
      </c>
      <c r="DD58" s="102">
        <f t="shared" si="819"/>
        <v>0</v>
      </c>
      <c r="DE58" s="31">
        <v>0</v>
      </c>
      <c r="DF58" s="31">
        <v>90</v>
      </c>
      <c r="DG58" s="31">
        <v>0</v>
      </c>
      <c r="DH58" s="48">
        <f t="shared" si="820"/>
        <v>0</v>
      </c>
      <c r="DI58" s="62">
        <v>2223.4189999999999</v>
      </c>
      <c r="DJ58" s="62">
        <v>22476.13</v>
      </c>
      <c r="DK58" s="48">
        <f t="shared" si="821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22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23"/>
        <v>0</v>
      </c>
      <c r="DV58" s="62">
        <v>0</v>
      </c>
      <c r="DW58" s="62">
        <v>0</v>
      </c>
      <c r="DX58" s="62">
        <f t="shared" si="824"/>
        <v>0</v>
      </c>
      <c r="DY58" s="62">
        <f t="shared" si="825"/>
        <v>0</v>
      </c>
      <c r="DZ58" s="48">
        <f t="shared" si="826"/>
        <v>0</v>
      </c>
      <c r="EA58" s="62">
        <f t="shared" si="827"/>
        <v>0</v>
      </c>
      <c r="EB58" s="62">
        <f t="shared" si="828"/>
        <v>0</v>
      </c>
      <c r="EC58" s="48">
        <f t="shared" si="829"/>
        <v>0</v>
      </c>
      <c r="ED58" s="62">
        <f t="shared" si="830"/>
        <v>16200</v>
      </c>
      <c r="EE58" s="62">
        <f t="shared" si="831"/>
        <v>163782</v>
      </c>
      <c r="EF58" s="48">
        <f t="shared" si="832"/>
        <v>0</v>
      </c>
      <c r="EG58" s="62">
        <f t="shared" si="833"/>
        <v>0</v>
      </c>
      <c r="EH58" s="62">
        <f t="shared" si="834"/>
        <v>0</v>
      </c>
      <c r="EI58" s="48">
        <f t="shared" si="835"/>
        <v>0</v>
      </c>
      <c r="EJ58" s="62">
        <f t="shared" si="836"/>
        <v>0</v>
      </c>
      <c r="EK58" s="62">
        <f t="shared" si="837"/>
        <v>0</v>
      </c>
      <c r="EL58" s="48">
        <f t="shared" si="838"/>
        <v>0</v>
      </c>
      <c r="EM58" s="62">
        <f t="shared" si="839"/>
        <v>5400</v>
      </c>
      <c r="EN58" s="62">
        <f t="shared" si="840"/>
        <v>54594</v>
      </c>
      <c r="EO58" s="48">
        <f t="shared" si="841"/>
        <v>0</v>
      </c>
      <c r="EP58" s="62">
        <f t="shared" si="842"/>
        <v>0</v>
      </c>
      <c r="EQ58" s="62">
        <f t="shared" si="842"/>
        <v>0</v>
      </c>
      <c r="ER58" s="62">
        <f t="shared" si="842"/>
        <v>54594</v>
      </c>
      <c r="ES58" s="62">
        <f t="shared" si="843"/>
        <v>0</v>
      </c>
      <c r="ET58" s="62">
        <f t="shared" si="843"/>
        <v>0</v>
      </c>
      <c r="EU58" s="62">
        <f t="shared" si="843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44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 t="shared" si="57"/>
        <v>1</v>
      </c>
      <c r="FS58" s="103" t="b">
        <f t="shared" si="58"/>
        <v>0</v>
      </c>
      <c r="FT58" s="103" t="b">
        <f t="shared" si="59"/>
        <v>1</v>
      </c>
      <c r="FU58" s="103" t="b">
        <f t="shared" si="60"/>
        <v>0</v>
      </c>
      <c r="FV58" s="103" t="b">
        <f t="shared" si="61"/>
        <v>1</v>
      </c>
      <c r="FW58" s="104" t="b">
        <f t="shared" si="66"/>
        <v>0</v>
      </c>
      <c r="FX58" s="120" t="b">
        <f t="shared" si="845"/>
        <v>1</v>
      </c>
      <c r="FY58" s="104" t="s">
        <v>214</v>
      </c>
      <c r="FZ58" s="104" t="b">
        <f t="shared" si="846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7"/>
        <v>1</v>
      </c>
      <c r="GI58" s="8" t="b">
        <f t="shared" si="848"/>
        <v>0</v>
      </c>
    </row>
    <row r="59" spans="1:191" s="31" customFormat="1" ht="105" hidden="1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9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50">Q59*FH59</f>
        <v>525610.80000000005</v>
      </c>
      <c r="S59" s="94">
        <v>1740</v>
      </c>
      <c r="T59" s="94">
        <v>532962</v>
      </c>
      <c r="U59" s="94">
        <f t="shared" ref="U59:U66" si="851">IFERROR(ROUNDUP(S59/$EX59,0)*$EY59,0)</f>
        <v>4</v>
      </c>
      <c r="V59" s="94">
        <f t="shared" ref="V59:V66" si="852">SUM(Z59:AD59)</f>
        <v>1716</v>
      </c>
      <c r="W59" s="94">
        <f t="shared" ref="W59:W66" si="853">V59*FH59</f>
        <v>525610.80000000005</v>
      </c>
      <c r="X59" s="94">
        <f t="shared" ref="X59:X66" si="854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55">AA59*FH59</f>
        <v>0</v>
      </c>
      <c r="AF59" s="95">
        <f t="shared" ref="AF59:AF66" si="856">AB59*FH59</f>
        <v>0</v>
      </c>
      <c r="AG59" s="96">
        <v>0</v>
      </c>
      <c r="AH59" s="95">
        <f t="shared" ref="AH59:AH66" si="857">V59-AG59</f>
        <v>1716</v>
      </c>
      <c r="AI59" s="94">
        <f t="shared" ref="AI59:AI66" si="858">IF(AH59&gt;0,AH59*FH59,0)</f>
        <v>525610.80000000005</v>
      </c>
      <c r="AJ59" s="94">
        <f t="shared" ref="AJ59:AJ66" si="859">CU59</f>
        <v>12</v>
      </c>
      <c r="AK59" s="94">
        <f t="shared" ref="AK59:AK61" si="860">SUM(CS59:CU59)</f>
        <v>36</v>
      </c>
      <c r="AL59" s="94">
        <f t="shared" ref="AL59:AL66" si="861">SUM(CP59:CU59)</f>
        <v>48</v>
      </c>
      <c r="AM59" s="94">
        <f t="shared" ref="AM59:AM66" si="862">SUM(BK59:BP59)</f>
        <v>0</v>
      </c>
      <c r="AN59" s="94" t="str">
        <f t="shared" ref="AN59:AN66" si="863">IFERROR(S59/BQ59*30,"нет оборота")</f>
        <v>нет оборота</v>
      </c>
      <c r="AO59" s="94" t="str">
        <f t="shared" ref="AO59:AO66" si="864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65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6">IF(AT59="Да",W59,0)</f>
        <v>525610.80000000005</v>
      </c>
      <c r="AX59" s="14">
        <f t="shared" ref="AX59:AX62" si="867">MONTH(BC59)-6</f>
        <v>6</v>
      </c>
      <c r="AY59" s="94">
        <f t="shared" ref="AY59:AY66" si="868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9">BE59*FH59</f>
        <v>0</v>
      </c>
      <c r="BG59" s="29">
        <v>0</v>
      </c>
      <c r="BH59" s="29">
        <f t="shared" ref="BH59:BH66" si="870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71">IF(COUNTIF(BK59:BP59,"&gt;0")=0,0,SUM(BK59:BP59)/COUNTIF(BK59:BP59,"&gt;0"))</f>
        <v>0</v>
      </c>
      <c r="BR59" s="95">
        <f t="shared" ref="BR59:BR66" si="872">IF(OR(Q59=0,SUM(BK59:BP59)=0,V59&gt;Q59),V59-BK59,Q59-BK59)</f>
        <v>1716</v>
      </c>
      <c r="BS59" s="95">
        <f t="shared" ref="BS59:BW62" si="873">BR59-BL59</f>
        <v>1716</v>
      </c>
      <c r="BT59" s="95">
        <f t="shared" si="873"/>
        <v>1716</v>
      </c>
      <c r="BU59" s="95">
        <f t="shared" si="873"/>
        <v>1716</v>
      </c>
      <c r="BV59" s="95">
        <f t="shared" si="873"/>
        <v>1716</v>
      </c>
      <c r="BW59" s="95">
        <f t="shared" si="873"/>
        <v>1716</v>
      </c>
      <c r="BX59" s="95">
        <f t="shared" ref="BX59:CO62" si="874">BW59-$BQ59</f>
        <v>1716</v>
      </c>
      <c r="BY59" s="95">
        <f t="shared" si="874"/>
        <v>1716</v>
      </c>
      <c r="BZ59" s="95">
        <f t="shared" si="874"/>
        <v>1716</v>
      </c>
      <c r="CA59" s="95">
        <f t="shared" si="874"/>
        <v>1716</v>
      </c>
      <c r="CB59" s="95">
        <f t="shared" si="874"/>
        <v>1716</v>
      </c>
      <c r="CC59" s="95">
        <f t="shared" si="874"/>
        <v>1716</v>
      </c>
      <c r="CD59" s="95">
        <f t="shared" si="874"/>
        <v>1716</v>
      </c>
      <c r="CE59" s="95">
        <f t="shared" si="874"/>
        <v>1716</v>
      </c>
      <c r="CF59" s="95">
        <f t="shared" si="874"/>
        <v>1716</v>
      </c>
      <c r="CG59" s="95">
        <f t="shared" si="874"/>
        <v>1716</v>
      </c>
      <c r="CH59" s="95">
        <f t="shared" si="874"/>
        <v>1716</v>
      </c>
      <c r="CI59" s="95">
        <f t="shared" si="874"/>
        <v>1716</v>
      </c>
      <c r="CJ59" s="95">
        <f t="shared" si="874"/>
        <v>1716</v>
      </c>
      <c r="CK59" s="95">
        <f t="shared" si="874"/>
        <v>1716</v>
      </c>
      <c r="CL59" s="95">
        <f t="shared" si="874"/>
        <v>1716</v>
      </c>
      <c r="CM59" s="95">
        <f t="shared" si="874"/>
        <v>1716</v>
      </c>
      <c r="CN59" s="95">
        <f t="shared" si="874"/>
        <v>1716</v>
      </c>
      <c r="CO59" s="95">
        <f t="shared" si="874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75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6">IFERROR(CZ59/CY59,0)</f>
        <v>0</v>
      </c>
      <c r="DB59" s="62">
        <f t="shared" ref="DB59:DB66" si="877">CY59*FH59</f>
        <v>0</v>
      </c>
      <c r="DC59" s="62">
        <f t="shared" ref="DC59:DC66" si="878">CZ59*FH59</f>
        <v>0</v>
      </c>
      <c r="DD59" s="102">
        <f t="shared" ref="DD59:DD66" si="879">IFERROR(DC59/DB59,0)</f>
        <v>0</v>
      </c>
      <c r="DE59" s="31">
        <v>0</v>
      </c>
      <c r="DG59" s="31">
        <v>0</v>
      </c>
      <c r="DH59" s="48">
        <f t="shared" ref="DH59:DH66" si="880">IFERROR(ROUNDUP(DG59/$EX59,0)*$EY59,0)</f>
        <v>0</v>
      </c>
      <c r="DI59" s="62">
        <v>1740</v>
      </c>
      <c r="DJ59" s="62">
        <v>532963.49</v>
      </c>
      <c r="DK59" s="48">
        <f t="shared" ref="DK59:DK66" si="881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82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83">IFERROR(ROUNDUP(DS59/$EX59,0)*$EY59,0)</f>
        <v>4</v>
      </c>
      <c r="DV59" s="62">
        <v>0</v>
      </c>
      <c r="DW59" s="62">
        <v>0</v>
      </c>
      <c r="DX59" s="62">
        <f t="shared" ref="DX59:DX66" si="884">$DF59*BK59/30</f>
        <v>0</v>
      </c>
      <c r="DY59" s="62">
        <f t="shared" ref="DY59:DY66" si="885">DX59*$FH59</f>
        <v>0</v>
      </c>
      <c r="DZ59" s="48">
        <f t="shared" ref="DZ59:DZ66" si="886">IFERROR(ROUNDUP(DX59/$EX59,0)*$EY59,0)</f>
        <v>0</v>
      </c>
      <c r="EA59" s="62">
        <f t="shared" ref="EA59:EA66" si="887">$DF59*BL59/30</f>
        <v>0</v>
      </c>
      <c r="EB59" s="62">
        <f t="shared" ref="EB59:EB66" si="888">EA59*$FH59</f>
        <v>0</v>
      </c>
      <c r="EC59" s="48">
        <f t="shared" ref="EC59:EC66" si="889">IFERROR(ROUNDUP(EA59/$EX59,0)*$EY59,0)</f>
        <v>0</v>
      </c>
      <c r="ED59" s="62">
        <f t="shared" ref="ED59:ED66" si="890">$DF59*BM59/30</f>
        <v>0</v>
      </c>
      <c r="EE59" s="62">
        <f t="shared" ref="EE59:EE66" si="891">ED59*$FH59</f>
        <v>0</v>
      </c>
      <c r="EF59" s="48">
        <f t="shared" ref="EF59:EF66" si="892">IFERROR(ROUNDUP(ED59/$EX59,0)*$EY59,0)</f>
        <v>0</v>
      </c>
      <c r="EG59" s="62">
        <f t="shared" ref="EG59:EG66" si="893">$DF59*BN59/30</f>
        <v>0</v>
      </c>
      <c r="EH59" s="62">
        <f t="shared" ref="EH59:EH66" si="894">EG59*$FH59</f>
        <v>0</v>
      </c>
      <c r="EI59" s="48">
        <f t="shared" ref="EI59:EI66" si="895">IFERROR(ROUNDUP(EG59/$EX59,0)*$EY59,0)</f>
        <v>0</v>
      </c>
      <c r="EJ59" s="62">
        <f t="shared" ref="EJ59:EJ66" si="896">$DF59*BO59/30</f>
        <v>0</v>
      </c>
      <c r="EK59" s="62">
        <f t="shared" ref="EK59:EK66" si="897">EJ59*$FH59</f>
        <v>0</v>
      </c>
      <c r="EL59" s="48">
        <f t="shared" ref="EL59:EL66" si="898">IFERROR(ROUNDUP(EJ59/$EX59,0)*$EY59,0)</f>
        <v>0</v>
      </c>
      <c r="EM59" s="62">
        <f t="shared" ref="EM59:EM66" si="899">$DF59*BP59/30</f>
        <v>0</v>
      </c>
      <c r="EN59" s="62">
        <f t="shared" ref="EN59:EN66" si="900">EM59*$FH59</f>
        <v>0</v>
      </c>
      <c r="EO59" s="48">
        <f t="shared" ref="EO59:EO66" si="901">IFERROR(ROUNDUP(EM59/$EX59,0)*$EY59,0)</f>
        <v>0</v>
      </c>
      <c r="EP59" s="62">
        <f t="shared" ref="EP59:EU62" si="902">BK59*$FH59</f>
        <v>0</v>
      </c>
      <c r="EQ59" s="62">
        <f t="shared" si="902"/>
        <v>0</v>
      </c>
      <c r="ER59" s="62">
        <f t="shared" si="902"/>
        <v>0</v>
      </c>
      <c r="ES59" s="62">
        <f t="shared" si="902"/>
        <v>0</v>
      </c>
      <c r="ET59" s="62">
        <f t="shared" si="902"/>
        <v>0</v>
      </c>
      <c r="EU59" s="62">
        <f t="shared" si="902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903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 t="shared" si="57"/>
        <v>1</v>
      </c>
      <c r="FS59" s="104" t="b">
        <f t="shared" si="58"/>
        <v>1</v>
      </c>
      <c r="FT59" s="104" t="b">
        <f t="shared" si="59"/>
        <v>1</v>
      </c>
      <c r="FU59" s="104" t="b">
        <f t="shared" si="60"/>
        <v>1</v>
      </c>
      <c r="FV59" s="104" t="b">
        <f t="shared" si="61"/>
        <v>1</v>
      </c>
      <c r="FW59" s="104" t="b">
        <f t="shared" si="66"/>
        <v>0</v>
      </c>
      <c r="FX59" s="104" t="b">
        <f t="shared" ref="FX59:FX66" si="904">EXACT(FQ59,BI59)</f>
        <v>1</v>
      </c>
      <c r="FY59" s="104" t="s">
        <v>214</v>
      </c>
      <c r="FZ59" s="104" t="b">
        <f t="shared" ref="FZ59:FZ66" si="905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6">EXACT(GD59,C59)</f>
        <v>1</v>
      </c>
      <c r="GI59" s="108" t="b">
        <f t="shared" ref="GI59:GI66" si="907">EXACT(GG59,G59)</f>
        <v>0</v>
      </c>
    </row>
    <row r="60" spans="1:191" s="31" customFormat="1" hidden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9"/>
        <v>нет минмакс</v>
      </c>
      <c r="Q60" s="95">
        <v>2670</v>
      </c>
      <c r="R60" s="95">
        <f t="shared" si="850"/>
        <v>205803.6</v>
      </c>
      <c r="S60" s="112">
        <v>2670</v>
      </c>
      <c r="T60" s="112">
        <v>205803.6</v>
      </c>
      <c r="U60" s="112">
        <f t="shared" si="851"/>
        <v>3</v>
      </c>
      <c r="V60" s="113">
        <f t="shared" si="852"/>
        <v>2670</v>
      </c>
      <c r="W60" s="113">
        <f t="shared" si="853"/>
        <v>205803.6</v>
      </c>
      <c r="X60" s="113">
        <f t="shared" si="854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55"/>
        <v>0</v>
      </c>
      <c r="AF60" s="95">
        <f t="shared" si="856"/>
        <v>0</v>
      </c>
      <c r="AG60" s="114">
        <v>0</v>
      </c>
      <c r="AH60" s="95">
        <f t="shared" si="857"/>
        <v>2670</v>
      </c>
      <c r="AI60" s="115">
        <f t="shared" si="858"/>
        <v>205803.6</v>
      </c>
      <c r="AJ60" s="95">
        <f t="shared" si="859"/>
        <v>0</v>
      </c>
      <c r="AK60" s="95">
        <f t="shared" si="860"/>
        <v>0</v>
      </c>
      <c r="AL60" s="95">
        <f t="shared" si="861"/>
        <v>0</v>
      </c>
      <c r="AM60" s="95">
        <f t="shared" si="862"/>
        <v>0</v>
      </c>
      <c r="AN60" s="95" t="str">
        <f t="shared" si="863"/>
        <v>нет оборота</v>
      </c>
      <c r="AO60" s="95" t="str">
        <f t="shared" si="864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65"/>
        <v>Нет планов</v>
      </c>
      <c r="AW60" s="117">
        <f t="shared" si="866"/>
        <v>205803.6</v>
      </c>
      <c r="AX60" s="14">
        <f t="shared" si="867"/>
        <v>6</v>
      </c>
      <c r="AY60" s="25">
        <f t="shared" si="868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9"/>
        <v>0</v>
      </c>
      <c r="BG60" s="29">
        <v>0</v>
      </c>
      <c r="BH60" s="29">
        <f t="shared" si="870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71"/>
        <v>0</v>
      </c>
      <c r="BR60" s="95">
        <f t="shared" si="872"/>
        <v>2670</v>
      </c>
      <c r="BS60" s="95">
        <f t="shared" si="873"/>
        <v>2670</v>
      </c>
      <c r="BT60" s="95">
        <f t="shared" si="873"/>
        <v>2670</v>
      </c>
      <c r="BU60" s="95">
        <f t="shared" si="873"/>
        <v>2670</v>
      </c>
      <c r="BV60" s="95">
        <f t="shared" si="873"/>
        <v>2670</v>
      </c>
      <c r="BW60" s="95">
        <f t="shared" si="873"/>
        <v>2670</v>
      </c>
      <c r="BX60" s="95">
        <f t="shared" si="874"/>
        <v>2670</v>
      </c>
      <c r="BY60" s="95">
        <f t="shared" si="874"/>
        <v>2670</v>
      </c>
      <c r="BZ60" s="95">
        <f t="shared" si="874"/>
        <v>2670</v>
      </c>
      <c r="CA60" s="95">
        <f t="shared" si="874"/>
        <v>2670</v>
      </c>
      <c r="CB60" s="95">
        <f t="shared" si="874"/>
        <v>2670</v>
      </c>
      <c r="CC60" s="95">
        <f t="shared" si="874"/>
        <v>2670</v>
      </c>
      <c r="CD60" s="95">
        <f t="shared" si="874"/>
        <v>2670</v>
      </c>
      <c r="CE60" s="95">
        <f t="shared" si="874"/>
        <v>2670</v>
      </c>
      <c r="CF60" s="95">
        <f t="shared" si="874"/>
        <v>2670</v>
      </c>
      <c r="CG60" s="95">
        <f t="shared" si="874"/>
        <v>2670</v>
      </c>
      <c r="CH60" s="95">
        <f t="shared" si="874"/>
        <v>2670</v>
      </c>
      <c r="CI60" s="95">
        <f t="shared" si="874"/>
        <v>2670</v>
      </c>
      <c r="CJ60" s="95">
        <f t="shared" si="874"/>
        <v>2670</v>
      </c>
      <c r="CK60" s="95">
        <f t="shared" si="874"/>
        <v>2670</v>
      </c>
      <c r="CL60" s="95">
        <f t="shared" si="874"/>
        <v>2670</v>
      </c>
      <c r="CM60" s="95">
        <f t="shared" si="874"/>
        <v>2670</v>
      </c>
      <c r="CN60" s="95">
        <f t="shared" si="874"/>
        <v>2670</v>
      </c>
      <c r="CO60" s="95">
        <f t="shared" si="874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75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6"/>
        <v>0</v>
      </c>
      <c r="DB60" s="62">
        <f t="shared" si="877"/>
        <v>0</v>
      </c>
      <c r="DC60" s="62">
        <f t="shared" si="878"/>
        <v>0</v>
      </c>
      <c r="DD60" s="102">
        <f t="shared" si="879"/>
        <v>0</v>
      </c>
      <c r="DE60" s="31">
        <v>0</v>
      </c>
      <c r="DF60" s="31">
        <v>30</v>
      </c>
      <c r="DG60" s="31">
        <v>2460</v>
      </c>
      <c r="DH60" s="48">
        <f t="shared" si="880"/>
        <v>3</v>
      </c>
      <c r="DI60" s="62">
        <v>2670</v>
      </c>
      <c r="DJ60" s="62">
        <v>205806.53</v>
      </c>
      <c r="DK60" s="48">
        <f t="shared" si="881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82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83"/>
        <v>3</v>
      </c>
      <c r="DV60" s="62">
        <v>0</v>
      </c>
      <c r="DW60" s="62">
        <v>0</v>
      </c>
      <c r="DX60" s="62">
        <f t="shared" si="884"/>
        <v>0</v>
      </c>
      <c r="DY60" s="62">
        <f t="shared" si="885"/>
        <v>0</v>
      </c>
      <c r="DZ60" s="48">
        <f t="shared" si="886"/>
        <v>0</v>
      </c>
      <c r="EA60" s="62">
        <f t="shared" si="887"/>
        <v>0</v>
      </c>
      <c r="EB60" s="62">
        <f t="shared" si="888"/>
        <v>0</v>
      </c>
      <c r="EC60" s="48">
        <f t="shared" si="889"/>
        <v>0</v>
      </c>
      <c r="ED60" s="62">
        <f t="shared" si="890"/>
        <v>0</v>
      </c>
      <c r="EE60" s="62">
        <f t="shared" si="891"/>
        <v>0</v>
      </c>
      <c r="EF60" s="48">
        <f t="shared" si="892"/>
        <v>0</v>
      </c>
      <c r="EG60" s="62">
        <f t="shared" si="893"/>
        <v>0</v>
      </c>
      <c r="EH60" s="62">
        <f t="shared" si="894"/>
        <v>0</v>
      </c>
      <c r="EI60" s="48">
        <f t="shared" si="895"/>
        <v>0</v>
      </c>
      <c r="EJ60" s="62">
        <f t="shared" si="896"/>
        <v>0</v>
      </c>
      <c r="EK60" s="62">
        <f t="shared" si="897"/>
        <v>0</v>
      </c>
      <c r="EL60" s="48">
        <f t="shared" si="898"/>
        <v>0</v>
      </c>
      <c r="EM60" s="62">
        <f t="shared" si="899"/>
        <v>0</v>
      </c>
      <c r="EN60" s="62">
        <f t="shared" si="900"/>
        <v>0</v>
      </c>
      <c r="EO60" s="48">
        <f t="shared" si="901"/>
        <v>0</v>
      </c>
      <c r="EP60" s="62">
        <f t="shared" si="902"/>
        <v>0</v>
      </c>
      <c r="EQ60" s="62">
        <f t="shared" si="902"/>
        <v>0</v>
      </c>
      <c r="ER60" s="62">
        <f t="shared" si="902"/>
        <v>0</v>
      </c>
      <c r="ES60" s="62">
        <f t="shared" si="902"/>
        <v>0</v>
      </c>
      <c r="ET60" s="62">
        <f t="shared" si="902"/>
        <v>0</v>
      </c>
      <c r="EU60" s="62">
        <f t="shared" si="902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903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 t="shared" si="57"/>
        <v>1</v>
      </c>
      <c r="FS60" s="103" t="b">
        <f t="shared" si="58"/>
        <v>1</v>
      </c>
      <c r="FT60" s="103" t="b">
        <f t="shared" si="59"/>
        <v>1</v>
      </c>
      <c r="FU60" s="103" t="b">
        <f t="shared" si="60"/>
        <v>0</v>
      </c>
      <c r="FV60" s="103" t="b">
        <f t="shared" si="61"/>
        <v>1</v>
      </c>
      <c r="FW60" s="104" t="b">
        <f t="shared" si="66"/>
        <v>0</v>
      </c>
      <c r="FX60" s="120" t="b">
        <f t="shared" si="904"/>
        <v>1</v>
      </c>
      <c r="FY60" s="104" t="s">
        <v>214</v>
      </c>
      <c r="FZ60" s="104" t="b">
        <f t="shared" si="905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6"/>
        <v>1</v>
      </c>
      <c r="GI60" s="8" t="b">
        <f t="shared" si="907"/>
        <v>0</v>
      </c>
    </row>
    <row r="61" spans="1:191" s="31" customFormat="1" hidden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9"/>
        <v>нет минмакс</v>
      </c>
      <c r="Q61" s="95">
        <v>8125</v>
      </c>
      <c r="R61" s="95">
        <f t="shared" si="850"/>
        <v>22750</v>
      </c>
      <c r="S61" s="112">
        <v>8125</v>
      </c>
      <c r="T61" s="112">
        <v>22750</v>
      </c>
      <c r="U61" s="112">
        <f t="shared" si="851"/>
        <v>0</v>
      </c>
      <c r="V61" s="113">
        <f t="shared" si="852"/>
        <v>8125</v>
      </c>
      <c r="W61" s="113">
        <f t="shared" si="853"/>
        <v>22750</v>
      </c>
      <c r="X61" s="113">
        <f t="shared" si="854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55"/>
        <v>0</v>
      </c>
      <c r="AF61" s="95">
        <f t="shared" si="856"/>
        <v>0</v>
      </c>
      <c r="AG61" s="114">
        <v>0</v>
      </c>
      <c r="AH61" s="95">
        <f t="shared" si="857"/>
        <v>8125</v>
      </c>
      <c r="AI61" s="115">
        <f t="shared" si="858"/>
        <v>22750</v>
      </c>
      <c r="AJ61" s="95">
        <f t="shared" si="859"/>
        <v>0</v>
      </c>
      <c r="AK61" s="95">
        <f t="shared" si="860"/>
        <v>0</v>
      </c>
      <c r="AL61" s="95">
        <f t="shared" si="861"/>
        <v>0</v>
      </c>
      <c r="AM61" s="95">
        <f t="shared" si="862"/>
        <v>0</v>
      </c>
      <c r="AN61" s="95" t="str">
        <f t="shared" si="863"/>
        <v>нет оборота</v>
      </c>
      <c r="AO61" s="95" t="str">
        <f t="shared" si="864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65"/>
        <v>Нет планов</v>
      </c>
      <c r="AW61" s="117">
        <f t="shared" si="866"/>
        <v>22750</v>
      </c>
      <c r="AX61" s="14">
        <f t="shared" si="867"/>
        <v>6</v>
      </c>
      <c r="AY61" s="25">
        <f t="shared" si="868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9"/>
        <v>0</v>
      </c>
      <c r="BG61" s="29">
        <v>0</v>
      </c>
      <c r="BH61" s="29">
        <f t="shared" si="870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71"/>
        <v>0</v>
      </c>
      <c r="BR61" s="95">
        <f t="shared" si="872"/>
        <v>8125</v>
      </c>
      <c r="BS61" s="95">
        <f t="shared" si="873"/>
        <v>8125</v>
      </c>
      <c r="BT61" s="95">
        <f t="shared" si="873"/>
        <v>8125</v>
      </c>
      <c r="BU61" s="95">
        <f t="shared" si="873"/>
        <v>8125</v>
      </c>
      <c r="BV61" s="95">
        <f t="shared" si="873"/>
        <v>8125</v>
      </c>
      <c r="BW61" s="95">
        <f t="shared" si="873"/>
        <v>8125</v>
      </c>
      <c r="BX61" s="95">
        <f t="shared" si="874"/>
        <v>8125</v>
      </c>
      <c r="BY61" s="95">
        <f t="shared" si="874"/>
        <v>8125</v>
      </c>
      <c r="BZ61" s="95">
        <f t="shared" si="874"/>
        <v>8125</v>
      </c>
      <c r="CA61" s="95">
        <f t="shared" si="874"/>
        <v>8125</v>
      </c>
      <c r="CB61" s="95">
        <f t="shared" si="874"/>
        <v>8125</v>
      </c>
      <c r="CC61" s="95">
        <f t="shared" si="874"/>
        <v>8125</v>
      </c>
      <c r="CD61" s="95">
        <f t="shared" si="874"/>
        <v>8125</v>
      </c>
      <c r="CE61" s="95">
        <f t="shared" si="874"/>
        <v>8125</v>
      </c>
      <c r="CF61" s="95">
        <f t="shared" si="874"/>
        <v>8125</v>
      </c>
      <c r="CG61" s="95">
        <f t="shared" si="874"/>
        <v>8125</v>
      </c>
      <c r="CH61" s="95">
        <f t="shared" si="874"/>
        <v>8125</v>
      </c>
      <c r="CI61" s="95">
        <f t="shared" si="874"/>
        <v>8125</v>
      </c>
      <c r="CJ61" s="95">
        <f t="shared" si="874"/>
        <v>8125</v>
      </c>
      <c r="CK61" s="95">
        <f t="shared" si="874"/>
        <v>8125</v>
      </c>
      <c r="CL61" s="95">
        <f t="shared" si="874"/>
        <v>8125</v>
      </c>
      <c r="CM61" s="95">
        <f t="shared" si="874"/>
        <v>8125</v>
      </c>
      <c r="CN61" s="95">
        <f t="shared" si="874"/>
        <v>8125</v>
      </c>
      <c r="CO61" s="95">
        <f t="shared" si="874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75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6"/>
        <v>0</v>
      </c>
      <c r="DB61" s="62">
        <f t="shared" si="877"/>
        <v>0</v>
      </c>
      <c r="DC61" s="62">
        <f t="shared" si="878"/>
        <v>0</v>
      </c>
      <c r="DD61" s="102">
        <f t="shared" si="879"/>
        <v>0</v>
      </c>
      <c r="DE61" s="31">
        <v>0</v>
      </c>
      <c r="DF61" s="31">
        <v>90</v>
      </c>
      <c r="DG61" s="31">
        <v>0</v>
      </c>
      <c r="DH61" s="48">
        <f t="shared" si="880"/>
        <v>0</v>
      </c>
      <c r="DI61" s="62">
        <v>8125</v>
      </c>
      <c r="DJ61" s="62">
        <v>22722.67</v>
      </c>
      <c r="DK61" s="48">
        <f t="shared" si="881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82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83"/>
        <v>0</v>
      </c>
      <c r="DV61" s="62">
        <v>0</v>
      </c>
      <c r="DW61" s="62">
        <v>0</v>
      </c>
      <c r="DX61" s="62">
        <f t="shared" si="884"/>
        <v>0</v>
      </c>
      <c r="DY61" s="62">
        <f t="shared" si="885"/>
        <v>0</v>
      </c>
      <c r="DZ61" s="48">
        <f t="shared" si="886"/>
        <v>0</v>
      </c>
      <c r="EA61" s="62">
        <f t="shared" si="887"/>
        <v>0</v>
      </c>
      <c r="EB61" s="62">
        <f t="shared" si="888"/>
        <v>0</v>
      </c>
      <c r="EC61" s="48">
        <f t="shared" si="889"/>
        <v>0</v>
      </c>
      <c r="ED61" s="62">
        <f t="shared" si="890"/>
        <v>0</v>
      </c>
      <c r="EE61" s="62">
        <f t="shared" si="891"/>
        <v>0</v>
      </c>
      <c r="EF61" s="48">
        <f t="shared" si="892"/>
        <v>0</v>
      </c>
      <c r="EG61" s="62">
        <f t="shared" si="893"/>
        <v>0</v>
      </c>
      <c r="EH61" s="62">
        <f t="shared" si="894"/>
        <v>0</v>
      </c>
      <c r="EI61" s="48">
        <f t="shared" si="895"/>
        <v>0</v>
      </c>
      <c r="EJ61" s="62">
        <f t="shared" si="896"/>
        <v>0</v>
      </c>
      <c r="EK61" s="62">
        <f t="shared" si="897"/>
        <v>0</v>
      </c>
      <c r="EL61" s="48">
        <f t="shared" si="898"/>
        <v>0</v>
      </c>
      <c r="EM61" s="62">
        <f t="shared" si="899"/>
        <v>0</v>
      </c>
      <c r="EN61" s="62">
        <f t="shared" si="900"/>
        <v>0</v>
      </c>
      <c r="EO61" s="48">
        <f t="shared" si="901"/>
        <v>0</v>
      </c>
      <c r="EP61" s="62">
        <f t="shared" si="902"/>
        <v>0</v>
      </c>
      <c r="EQ61" s="62">
        <f t="shared" si="902"/>
        <v>0</v>
      </c>
      <c r="ER61" s="62">
        <f t="shared" si="902"/>
        <v>0</v>
      </c>
      <c r="ES61" s="62">
        <f t="shared" si="902"/>
        <v>0</v>
      </c>
      <c r="ET61" s="62">
        <f t="shared" si="902"/>
        <v>0</v>
      </c>
      <c r="EU61" s="62">
        <f t="shared" si="902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903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 t="shared" si="57"/>
        <v>1</v>
      </c>
      <c r="FS61" s="103" t="b">
        <f t="shared" si="58"/>
        <v>1</v>
      </c>
      <c r="FT61" s="103" t="b">
        <f t="shared" si="59"/>
        <v>1</v>
      </c>
      <c r="FU61" s="103" t="b">
        <f t="shared" si="60"/>
        <v>0</v>
      </c>
      <c r="FV61" s="103" t="b">
        <f t="shared" si="61"/>
        <v>1</v>
      </c>
      <c r="FW61" s="104" t="b">
        <f t="shared" si="66"/>
        <v>0</v>
      </c>
      <c r="FX61" s="120" t="b">
        <f t="shared" si="904"/>
        <v>1</v>
      </c>
      <c r="FY61" s="104" t="s">
        <v>214</v>
      </c>
      <c r="FZ61" s="104" t="b">
        <f t="shared" si="905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6"/>
        <v>1</v>
      </c>
      <c r="GI61" s="8" t="b">
        <f t="shared" si="907"/>
        <v>0</v>
      </c>
    </row>
    <row r="62" spans="1:191" s="31" customFormat="1" hidden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9"/>
        <v>нет минмакс</v>
      </c>
      <c r="Q62" s="95">
        <v>850</v>
      </c>
      <c r="R62" s="95">
        <f t="shared" si="850"/>
        <v>15427.499999999998</v>
      </c>
      <c r="S62" s="112">
        <v>850</v>
      </c>
      <c r="T62" s="112">
        <v>15427.499999999998</v>
      </c>
      <c r="U62" s="112">
        <f t="shared" si="851"/>
        <v>0</v>
      </c>
      <c r="V62" s="113">
        <f t="shared" si="852"/>
        <v>850</v>
      </c>
      <c r="W62" s="113">
        <f t="shared" si="853"/>
        <v>15427.499999999998</v>
      </c>
      <c r="X62" s="113">
        <f t="shared" si="854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55"/>
        <v>0</v>
      </c>
      <c r="AF62" s="95">
        <f t="shared" si="856"/>
        <v>15427.499999999998</v>
      </c>
      <c r="AG62" s="114">
        <v>0</v>
      </c>
      <c r="AH62" s="95">
        <f t="shared" si="857"/>
        <v>850</v>
      </c>
      <c r="AI62" s="115">
        <f t="shared" si="858"/>
        <v>15427.499999999998</v>
      </c>
      <c r="AJ62" s="95">
        <f t="shared" si="859"/>
        <v>0</v>
      </c>
      <c r="AK62" s="95">
        <f t="shared" ref="AK62:AK66" si="908">SUM(CS62:CU62)</f>
        <v>0</v>
      </c>
      <c r="AL62" s="95">
        <f t="shared" si="861"/>
        <v>0</v>
      </c>
      <c r="AM62" s="95">
        <f t="shared" si="862"/>
        <v>0</v>
      </c>
      <c r="AN62" s="95" t="str">
        <f t="shared" si="863"/>
        <v>нет оборота</v>
      </c>
      <c r="AO62" s="95" t="str">
        <f t="shared" si="864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65"/>
        <v>Нет планов</v>
      </c>
      <c r="AW62" s="117">
        <f t="shared" si="866"/>
        <v>15427.499999999998</v>
      </c>
      <c r="AX62" s="14">
        <f t="shared" si="867"/>
        <v>6</v>
      </c>
      <c r="AY62" s="25">
        <f t="shared" si="868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9"/>
        <v>0</v>
      </c>
      <c r="BG62" s="29">
        <v>0</v>
      </c>
      <c r="BH62" s="29">
        <f t="shared" si="870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71"/>
        <v>0</v>
      </c>
      <c r="BR62" s="95">
        <f t="shared" si="872"/>
        <v>850</v>
      </c>
      <c r="BS62" s="95">
        <f t="shared" si="873"/>
        <v>850</v>
      </c>
      <c r="BT62" s="95">
        <f t="shared" si="873"/>
        <v>850</v>
      </c>
      <c r="BU62" s="95">
        <f t="shared" si="873"/>
        <v>850</v>
      </c>
      <c r="BV62" s="95">
        <f t="shared" si="873"/>
        <v>850</v>
      </c>
      <c r="BW62" s="95">
        <f t="shared" si="873"/>
        <v>850</v>
      </c>
      <c r="BX62" s="95">
        <f t="shared" si="874"/>
        <v>850</v>
      </c>
      <c r="BY62" s="95">
        <f t="shared" si="874"/>
        <v>850</v>
      </c>
      <c r="BZ62" s="95">
        <f t="shared" si="874"/>
        <v>850</v>
      </c>
      <c r="CA62" s="95">
        <f t="shared" si="874"/>
        <v>850</v>
      </c>
      <c r="CB62" s="95">
        <f t="shared" si="874"/>
        <v>850</v>
      </c>
      <c r="CC62" s="95">
        <f t="shared" si="874"/>
        <v>850</v>
      </c>
      <c r="CD62" s="95">
        <f t="shared" si="874"/>
        <v>850</v>
      </c>
      <c r="CE62" s="95">
        <f t="shared" si="874"/>
        <v>850</v>
      </c>
      <c r="CF62" s="95">
        <f t="shared" si="874"/>
        <v>850</v>
      </c>
      <c r="CG62" s="95">
        <f t="shared" si="874"/>
        <v>850</v>
      </c>
      <c r="CH62" s="95">
        <f t="shared" si="874"/>
        <v>850</v>
      </c>
      <c r="CI62" s="95">
        <f t="shared" si="874"/>
        <v>850</v>
      </c>
      <c r="CJ62" s="95">
        <f t="shared" si="874"/>
        <v>850</v>
      </c>
      <c r="CK62" s="95">
        <f t="shared" si="874"/>
        <v>850</v>
      </c>
      <c r="CL62" s="95">
        <f t="shared" si="874"/>
        <v>850</v>
      </c>
      <c r="CM62" s="95">
        <f t="shared" si="874"/>
        <v>850</v>
      </c>
      <c r="CN62" s="95">
        <f t="shared" si="874"/>
        <v>850</v>
      </c>
      <c r="CO62" s="95">
        <f t="shared" si="874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75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6"/>
        <v>0</v>
      </c>
      <c r="DB62" s="62">
        <f t="shared" si="877"/>
        <v>0</v>
      </c>
      <c r="DC62" s="62">
        <f t="shared" si="878"/>
        <v>0</v>
      </c>
      <c r="DD62" s="102">
        <f t="shared" si="879"/>
        <v>0</v>
      </c>
      <c r="DE62" s="31">
        <v>0</v>
      </c>
      <c r="DF62" s="31">
        <v>90</v>
      </c>
      <c r="DG62" s="31">
        <v>0</v>
      </c>
      <c r="DH62" s="48">
        <f t="shared" si="880"/>
        <v>0</v>
      </c>
      <c r="DI62" s="62">
        <v>850</v>
      </c>
      <c r="DJ62" s="62">
        <v>15425.52</v>
      </c>
      <c r="DK62" s="48">
        <f t="shared" si="881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82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83"/>
        <v>0</v>
      </c>
      <c r="DV62" s="62">
        <v>0</v>
      </c>
      <c r="DW62" s="62">
        <v>0</v>
      </c>
      <c r="DX62" s="62">
        <f t="shared" si="884"/>
        <v>0</v>
      </c>
      <c r="DY62" s="62">
        <f t="shared" si="885"/>
        <v>0</v>
      </c>
      <c r="DZ62" s="48">
        <f t="shared" si="886"/>
        <v>0</v>
      </c>
      <c r="EA62" s="62">
        <f t="shared" si="887"/>
        <v>0</v>
      </c>
      <c r="EB62" s="62">
        <f t="shared" si="888"/>
        <v>0</v>
      </c>
      <c r="EC62" s="48">
        <f t="shared" si="889"/>
        <v>0</v>
      </c>
      <c r="ED62" s="62">
        <f t="shared" si="890"/>
        <v>0</v>
      </c>
      <c r="EE62" s="62">
        <f t="shared" si="891"/>
        <v>0</v>
      </c>
      <c r="EF62" s="48">
        <f t="shared" si="892"/>
        <v>0</v>
      </c>
      <c r="EG62" s="62">
        <f t="shared" si="893"/>
        <v>0</v>
      </c>
      <c r="EH62" s="62">
        <f t="shared" si="894"/>
        <v>0</v>
      </c>
      <c r="EI62" s="48">
        <f t="shared" si="895"/>
        <v>0</v>
      </c>
      <c r="EJ62" s="62">
        <f t="shared" si="896"/>
        <v>0</v>
      </c>
      <c r="EK62" s="62">
        <f t="shared" si="897"/>
        <v>0</v>
      </c>
      <c r="EL62" s="48">
        <f t="shared" si="898"/>
        <v>0</v>
      </c>
      <c r="EM62" s="62">
        <f t="shared" si="899"/>
        <v>0</v>
      </c>
      <c r="EN62" s="62">
        <f t="shared" si="900"/>
        <v>0</v>
      </c>
      <c r="EO62" s="48">
        <f t="shared" si="901"/>
        <v>0</v>
      </c>
      <c r="EP62" s="62">
        <f t="shared" si="902"/>
        <v>0</v>
      </c>
      <c r="EQ62" s="62">
        <f t="shared" si="902"/>
        <v>0</v>
      </c>
      <c r="ER62" s="62">
        <f t="shared" si="902"/>
        <v>0</v>
      </c>
      <c r="ES62" s="62">
        <f t="shared" si="902"/>
        <v>0</v>
      </c>
      <c r="ET62" s="62">
        <f t="shared" si="902"/>
        <v>0</v>
      </c>
      <c r="EU62" s="62">
        <f t="shared" si="902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903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 t="shared" si="57"/>
        <v>1</v>
      </c>
      <c r="FS62" s="103" t="b">
        <f t="shared" si="58"/>
        <v>1</v>
      </c>
      <c r="FT62" s="103" t="b">
        <f t="shared" si="59"/>
        <v>1</v>
      </c>
      <c r="FU62" s="103" t="b">
        <f t="shared" si="60"/>
        <v>0</v>
      </c>
      <c r="FV62" s="103" t="b">
        <f t="shared" si="61"/>
        <v>1</v>
      </c>
      <c r="FW62" s="104" t="b">
        <f t="shared" si="66"/>
        <v>0</v>
      </c>
      <c r="FX62" s="120" t="b">
        <f t="shared" si="904"/>
        <v>1</v>
      </c>
      <c r="FY62" s="104" t="s">
        <v>214</v>
      </c>
      <c r="FZ62" s="104" t="b">
        <f t="shared" si="905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6"/>
        <v>1</v>
      </c>
      <c r="GI62" s="8" t="b">
        <f t="shared" si="907"/>
        <v>0</v>
      </c>
    </row>
    <row r="63" spans="1:191" s="31" customFormat="1" ht="45" hidden="1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9"/>
        <v>нет минмакс</v>
      </c>
      <c r="Q63" s="95">
        <v>1440</v>
      </c>
      <c r="R63" s="95">
        <f t="shared" si="850"/>
        <v>489715.19999999995</v>
      </c>
      <c r="S63" s="94">
        <v>1552</v>
      </c>
      <c r="T63" s="94">
        <v>527804.16000000003</v>
      </c>
      <c r="U63" s="94">
        <f t="shared" si="851"/>
        <v>4</v>
      </c>
      <c r="V63" s="94">
        <f t="shared" si="852"/>
        <v>800</v>
      </c>
      <c r="W63" s="94">
        <f t="shared" si="853"/>
        <v>272064</v>
      </c>
      <c r="X63" s="94">
        <f t="shared" si="854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55"/>
        <v>0</v>
      </c>
      <c r="AF63" s="95">
        <f t="shared" si="856"/>
        <v>0</v>
      </c>
      <c r="AG63" s="96">
        <v>2016</v>
      </c>
      <c r="AH63" s="95">
        <f t="shared" si="857"/>
        <v>-1216</v>
      </c>
      <c r="AI63" s="94">
        <f t="shared" si="858"/>
        <v>0</v>
      </c>
      <c r="AJ63" s="94">
        <f t="shared" si="859"/>
        <v>0</v>
      </c>
      <c r="AK63" s="94">
        <f t="shared" si="908"/>
        <v>1568</v>
      </c>
      <c r="AL63" s="94">
        <f t="shared" si="861"/>
        <v>4424</v>
      </c>
      <c r="AM63" s="94">
        <f t="shared" si="862"/>
        <v>6000</v>
      </c>
      <c r="AN63" s="94">
        <f t="shared" si="863"/>
        <v>46.56</v>
      </c>
      <c r="AO63" s="94" t="str">
        <f t="shared" si="864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65"/>
        <v>0-02</v>
      </c>
      <c r="AW63" s="98">
        <f t="shared" si="866"/>
        <v>0</v>
      </c>
      <c r="AX63" s="93"/>
      <c r="AY63" s="94">
        <f t="shared" si="868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9"/>
        <v>0</v>
      </c>
      <c r="BG63" s="29">
        <v>0</v>
      </c>
      <c r="BH63" s="29">
        <f t="shared" si="870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71"/>
        <v>1000</v>
      </c>
      <c r="BR63" s="95">
        <f t="shared" si="872"/>
        <v>440</v>
      </c>
      <c r="BS63" s="95">
        <f t="shared" ref="BS63:BW66" si="909">BR63-BL63</f>
        <v>-560</v>
      </c>
      <c r="BT63" s="95">
        <f t="shared" si="909"/>
        <v>-1560</v>
      </c>
      <c r="BU63" s="95">
        <f t="shared" si="909"/>
        <v>-2560</v>
      </c>
      <c r="BV63" s="95">
        <f t="shared" si="909"/>
        <v>-3560</v>
      </c>
      <c r="BW63" s="95">
        <f t="shared" si="909"/>
        <v>-4560</v>
      </c>
      <c r="BX63" s="95">
        <f t="shared" ref="BX63:CO66" si="910">BW63-$BQ63</f>
        <v>-5560</v>
      </c>
      <c r="BY63" s="95">
        <f t="shared" si="910"/>
        <v>-6560</v>
      </c>
      <c r="BZ63" s="95">
        <f t="shared" si="910"/>
        <v>-7560</v>
      </c>
      <c r="CA63" s="95">
        <f t="shared" si="910"/>
        <v>-8560</v>
      </c>
      <c r="CB63" s="95">
        <f t="shared" si="910"/>
        <v>-9560</v>
      </c>
      <c r="CC63" s="95">
        <f t="shared" si="910"/>
        <v>-10560</v>
      </c>
      <c r="CD63" s="95">
        <f t="shared" si="910"/>
        <v>-11560</v>
      </c>
      <c r="CE63" s="95">
        <f t="shared" si="910"/>
        <v>-12560</v>
      </c>
      <c r="CF63" s="95">
        <f t="shared" si="910"/>
        <v>-13560</v>
      </c>
      <c r="CG63" s="95">
        <f t="shared" si="910"/>
        <v>-14560</v>
      </c>
      <c r="CH63" s="95">
        <f t="shared" si="910"/>
        <v>-15560</v>
      </c>
      <c r="CI63" s="95">
        <f t="shared" si="910"/>
        <v>-16560</v>
      </c>
      <c r="CJ63" s="95">
        <f t="shared" si="910"/>
        <v>-17560</v>
      </c>
      <c r="CK63" s="95">
        <f t="shared" si="910"/>
        <v>-18560</v>
      </c>
      <c r="CL63" s="95">
        <f t="shared" si="910"/>
        <v>-19560</v>
      </c>
      <c r="CM63" s="95">
        <f t="shared" si="910"/>
        <v>-20560</v>
      </c>
      <c r="CN63" s="95">
        <f t="shared" si="910"/>
        <v>-21560</v>
      </c>
      <c r="CO63" s="95">
        <f t="shared" si="910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75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6"/>
        <v>0.64158273381294961</v>
      </c>
      <c r="DB63" s="62">
        <f t="shared" si="877"/>
        <v>831140.57142857125</v>
      </c>
      <c r="DC63" s="62">
        <f t="shared" si="878"/>
        <v>533245.43999999994</v>
      </c>
      <c r="DD63" s="102">
        <f t="shared" si="879"/>
        <v>0.64158273381294972</v>
      </c>
      <c r="DE63" s="31">
        <v>0</v>
      </c>
      <c r="DG63" s="31">
        <v>0</v>
      </c>
      <c r="DH63" s="48">
        <f t="shared" si="880"/>
        <v>0</v>
      </c>
      <c r="DI63" s="62">
        <v>3237.1610000000001</v>
      </c>
      <c r="DJ63" s="62">
        <v>1100904.111</v>
      </c>
      <c r="DK63" s="48">
        <f t="shared" si="881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82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83"/>
        <v>6</v>
      </c>
      <c r="DV63" s="62">
        <v>1568</v>
      </c>
      <c r="DW63" s="62">
        <v>532884.00379844964</v>
      </c>
      <c r="DX63" s="62">
        <f t="shared" si="884"/>
        <v>0</v>
      </c>
      <c r="DY63" s="62">
        <f t="shared" si="885"/>
        <v>0</v>
      </c>
      <c r="DZ63" s="48">
        <f t="shared" si="886"/>
        <v>0</v>
      </c>
      <c r="EA63" s="62">
        <f t="shared" si="887"/>
        <v>0</v>
      </c>
      <c r="EB63" s="62">
        <f t="shared" si="888"/>
        <v>0</v>
      </c>
      <c r="EC63" s="48">
        <f t="shared" si="889"/>
        <v>0</v>
      </c>
      <c r="ED63" s="62">
        <f t="shared" si="890"/>
        <v>0</v>
      </c>
      <c r="EE63" s="62">
        <f t="shared" si="891"/>
        <v>0</v>
      </c>
      <c r="EF63" s="48">
        <f t="shared" si="892"/>
        <v>0</v>
      </c>
      <c r="EG63" s="62">
        <f t="shared" si="893"/>
        <v>0</v>
      </c>
      <c r="EH63" s="62">
        <f t="shared" si="894"/>
        <v>0</v>
      </c>
      <c r="EI63" s="48">
        <f t="shared" si="895"/>
        <v>0</v>
      </c>
      <c r="EJ63" s="62">
        <f t="shared" si="896"/>
        <v>0</v>
      </c>
      <c r="EK63" s="62">
        <f t="shared" si="897"/>
        <v>0</v>
      </c>
      <c r="EL63" s="48">
        <f t="shared" si="898"/>
        <v>0</v>
      </c>
      <c r="EM63" s="62">
        <f t="shared" si="899"/>
        <v>0</v>
      </c>
      <c r="EN63" s="62">
        <f t="shared" si="900"/>
        <v>0</v>
      </c>
      <c r="EO63" s="48">
        <f t="shared" si="901"/>
        <v>0</v>
      </c>
      <c r="EP63" s="62">
        <f t="shared" ref="EP63:ER66" si="911">BK63*$FH63</f>
        <v>340080</v>
      </c>
      <c r="EQ63" s="62">
        <f t="shared" si="911"/>
        <v>340080</v>
      </c>
      <c r="ER63" s="62">
        <f t="shared" si="911"/>
        <v>340080</v>
      </c>
      <c r="ES63" s="62">
        <f t="shared" ref="ES63:EU66" si="912">BN63*$FH63</f>
        <v>340080</v>
      </c>
      <c r="ET63" s="62">
        <f t="shared" si="912"/>
        <v>340080</v>
      </c>
      <c r="EU63" s="62">
        <f t="shared" si="912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903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 t="shared" si="57"/>
        <v>1</v>
      </c>
      <c r="FS63" s="104" t="b">
        <f t="shared" si="58"/>
        <v>1</v>
      </c>
      <c r="FT63" s="104" t="b">
        <f t="shared" si="59"/>
        <v>1</v>
      </c>
      <c r="FU63" s="104" t="b">
        <f t="shared" si="60"/>
        <v>1</v>
      </c>
      <c r="FV63" s="104" t="b">
        <f t="shared" si="61"/>
        <v>1</v>
      </c>
      <c r="FW63" s="104" t="b">
        <f t="shared" si="66"/>
        <v>0</v>
      </c>
      <c r="FX63" s="104" t="b">
        <f t="shared" si="904"/>
        <v>1</v>
      </c>
      <c r="FY63" s="104" t="s">
        <v>214</v>
      </c>
      <c r="FZ63" s="104" t="b">
        <f t="shared" si="905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6"/>
        <v>1</v>
      </c>
      <c r="GI63" s="108" t="b">
        <f t="shared" si="907"/>
        <v>0</v>
      </c>
    </row>
    <row r="64" spans="1:191" s="31" customFormat="1" hidden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9"/>
        <v>нет минмакс</v>
      </c>
      <c r="Q64" s="95">
        <v>2992</v>
      </c>
      <c r="R64" s="95">
        <f t="shared" si="850"/>
        <v>26658.720000000001</v>
      </c>
      <c r="S64" s="112">
        <v>2992</v>
      </c>
      <c r="T64" s="112">
        <v>26658.720000000001</v>
      </c>
      <c r="U64" s="112">
        <f t="shared" si="851"/>
        <v>0</v>
      </c>
      <c r="V64" s="113">
        <f t="shared" si="852"/>
        <v>2992</v>
      </c>
      <c r="W64" s="113">
        <f t="shared" si="853"/>
        <v>26658.720000000001</v>
      </c>
      <c r="X64" s="113">
        <f t="shared" si="854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55"/>
        <v>0</v>
      </c>
      <c r="AF64" s="95">
        <f t="shared" si="856"/>
        <v>0</v>
      </c>
      <c r="AG64" s="114">
        <v>0</v>
      </c>
      <c r="AH64" s="95">
        <f t="shared" si="857"/>
        <v>2992</v>
      </c>
      <c r="AI64" s="115">
        <f t="shared" si="858"/>
        <v>26658.720000000001</v>
      </c>
      <c r="AJ64" s="95">
        <f t="shared" si="859"/>
        <v>0</v>
      </c>
      <c r="AK64" s="95">
        <f t="shared" si="908"/>
        <v>1</v>
      </c>
      <c r="AL64" s="95">
        <f t="shared" si="861"/>
        <v>5167</v>
      </c>
      <c r="AM64" s="95">
        <f t="shared" si="862"/>
        <v>6400</v>
      </c>
      <c r="AN64" s="95">
        <f t="shared" si="863"/>
        <v>28.05</v>
      </c>
      <c r="AO64" s="95" t="str">
        <f t="shared" si="864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65"/>
        <v>0-02</v>
      </c>
      <c r="AW64" s="117">
        <f t="shared" si="866"/>
        <v>0</v>
      </c>
      <c r="AX64" s="118"/>
      <c r="AY64" s="25">
        <f t="shared" si="868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9"/>
        <v>0</v>
      </c>
      <c r="BG64" s="29">
        <v>0</v>
      </c>
      <c r="BH64" s="29">
        <f t="shared" si="870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71"/>
        <v>3200</v>
      </c>
      <c r="BR64" s="95">
        <f t="shared" si="872"/>
        <v>2992</v>
      </c>
      <c r="BS64" s="95">
        <f t="shared" si="909"/>
        <v>-2408</v>
      </c>
      <c r="BT64" s="95">
        <f t="shared" si="909"/>
        <v>-2408</v>
      </c>
      <c r="BU64" s="95">
        <f t="shared" si="909"/>
        <v>-2408</v>
      </c>
      <c r="BV64" s="95">
        <f t="shared" si="909"/>
        <v>-2408</v>
      </c>
      <c r="BW64" s="95">
        <f t="shared" si="909"/>
        <v>-3408</v>
      </c>
      <c r="BX64" s="95">
        <f t="shared" si="910"/>
        <v>-6608</v>
      </c>
      <c r="BY64" s="95">
        <f t="shared" si="910"/>
        <v>-9808</v>
      </c>
      <c r="BZ64" s="95">
        <f t="shared" si="910"/>
        <v>-13008</v>
      </c>
      <c r="CA64" s="95">
        <f t="shared" si="910"/>
        <v>-16208</v>
      </c>
      <c r="CB64" s="95">
        <f t="shared" si="910"/>
        <v>-19408</v>
      </c>
      <c r="CC64" s="95">
        <f t="shared" si="910"/>
        <v>-22608</v>
      </c>
      <c r="CD64" s="95">
        <f t="shared" si="910"/>
        <v>-25808</v>
      </c>
      <c r="CE64" s="95">
        <f t="shared" si="910"/>
        <v>-29008</v>
      </c>
      <c r="CF64" s="95">
        <f t="shared" si="910"/>
        <v>-32208</v>
      </c>
      <c r="CG64" s="95">
        <f t="shared" si="910"/>
        <v>-35408</v>
      </c>
      <c r="CH64" s="95">
        <f t="shared" si="910"/>
        <v>-38608</v>
      </c>
      <c r="CI64" s="95">
        <f t="shared" si="910"/>
        <v>-41808</v>
      </c>
      <c r="CJ64" s="95">
        <f t="shared" si="910"/>
        <v>-45008</v>
      </c>
      <c r="CK64" s="95">
        <f t="shared" si="910"/>
        <v>-48208</v>
      </c>
      <c r="CL64" s="95">
        <f t="shared" si="910"/>
        <v>-51408</v>
      </c>
      <c r="CM64" s="95">
        <f t="shared" si="910"/>
        <v>-54608</v>
      </c>
      <c r="CN64" s="95">
        <f t="shared" si="910"/>
        <v>-57808</v>
      </c>
      <c r="CO64" s="95">
        <f t="shared" si="910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75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6"/>
        <v>0</v>
      </c>
      <c r="DB64" s="62">
        <f t="shared" si="877"/>
        <v>0</v>
      </c>
      <c r="DC64" s="62">
        <f t="shared" si="878"/>
        <v>0</v>
      </c>
      <c r="DD64" s="102">
        <f t="shared" si="879"/>
        <v>0</v>
      </c>
      <c r="DE64" s="31">
        <v>0</v>
      </c>
      <c r="DF64" s="31">
        <v>90</v>
      </c>
      <c r="DG64" s="31">
        <v>0</v>
      </c>
      <c r="DH64" s="48">
        <f t="shared" si="880"/>
        <v>0</v>
      </c>
      <c r="DI64" s="62">
        <v>2326.1610000000001</v>
      </c>
      <c r="DJ64" s="62">
        <v>13995.436</v>
      </c>
      <c r="DK64" s="48">
        <f t="shared" si="881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82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83"/>
        <v>0</v>
      </c>
      <c r="DV64" s="62">
        <v>1</v>
      </c>
      <c r="DW64" s="62">
        <v>6.0165383990907619</v>
      </c>
      <c r="DX64" s="62">
        <f t="shared" si="884"/>
        <v>0</v>
      </c>
      <c r="DY64" s="62">
        <f t="shared" si="885"/>
        <v>0</v>
      </c>
      <c r="DZ64" s="48">
        <f t="shared" si="886"/>
        <v>0</v>
      </c>
      <c r="EA64" s="62">
        <f t="shared" si="887"/>
        <v>16200</v>
      </c>
      <c r="EB64" s="62">
        <f t="shared" si="888"/>
        <v>144342</v>
      </c>
      <c r="EC64" s="48">
        <f t="shared" si="889"/>
        <v>0</v>
      </c>
      <c r="ED64" s="62">
        <f t="shared" si="890"/>
        <v>0</v>
      </c>
      <c r="EE64" s="62">
        <f t="shared" si="891"/>
        <v>0</v>
      </c>
      <c r="EF64" s="48">
        <f t="shared" si="892"/>
        <v>0</v>
      </c>
      <c r="EG64" s="62">
        <f t="shared" si="893"/>
        <v>0</v>
      </c>
      <c r="EH64" s="62">
        <f t="shared" si="894"/>
        <v>0</v>
      </c>
      <c r="EI64" s="48">
        <f t="shared" si="895"/>
        <v>0</v>
      </c>
      <c r="EJ64" s="62">
        <f t="shared" si="896"/>
        <v>0</v>
      </c>
      <c r="EK64" s="62">
        <f t="shared" si="897"/>
        <v>0</v>
      </c>
      <c r="EL64" s="48">
        <f t="shared" si="898"/>
        <v>0</v>
      </c>
      <c r="EM64" s="62">
        <f t="shared" si="899"/>
        <v>3000</v>
      </c>
      <c r="EN64" s="62">
        <f t="shared" si="900"/>
        <v>26730</v>
      </c>
      <c r="EO64" s="48">
        <f t="shared" si="901"/>
        <v>0</v>
      </c>
      <c r="EP64" s="62">
        <f t="shared" si="911"/>
        <v>0</v>
      </c>
      <c r="EQ64" s="62">
        <f t="shared" si="911"/>
        <v>48114</v>
      </c>
      <c r="ER64" s="62">
        <f t="shared" si="911"/>
        <v>0</v>
      </c>
      <c r="ES64" s="62">
        <f t="shared" si="912"/>
        <v>0</v>
      </c>
      <c r="ET64" s="62">
        <f t="shared" si="912"/>
        <v>0</v>
      </c>
      <c r="EU64" s="62">
        <f t="shared" si="912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903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 t="shared" si="57"/>
        <v>1</v>
      </c>
      <c r="FS64" s="103" t="b">
        <f t="shared" si="58"/>
        <v>0</v>
      </c>
      <c r="FT64" s="103" t="b">
        <f t="shared" si="59"/>
        <v>1</v>
      </c>
      <c r="FU64" s="103" t="b">
        <f t="shared" si="60"/>
        <v>0</v>
      </c>
      <c r="FV64" s="103" t="b">
        <f t="shared" si="61"/>
        <v>1</v>
      </c>
      <c r="FW64" s="104" t="b">
        <f t="shared" si="66"/>
        <v>0</v>
      </c>
      <c r="FX64" s="120" t="b">
        <f t="shared" si="904"/>
        <v>1</v>
      </c>
      <c r="FY64" s="104" t="s">
        <v>214</v>
      </c>
      <c r="FZ64" s="104" t="b">
        <f t="shared" si="905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6"/>
        <v>1</v>
      </c>
      <c r="GI64" s="8" t="b">
        <f t="shared" si="907"/>
        <v>0</v>
      </c>
    </row>
    <row r="65" spans="1:192" s="31" customFormat="1" hidden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9"/>
        <v>нет минмакс</v>
      </c>
      <c r="Q65" s="95">
        <v>2923</v>
      </c>
      <c r="R65" s="95">
        <f t="shared" si="850"/>
        <v>26248.54</v>
      </c>
      <c r="S65" s="112">
        <v>2923</v>
      </c>
      <c r="T65" s="112">
        <v>24173.21</v>
      </c>
      <c r="U65" s="112">
        <f t="shared" si="851"/>
        <v>0</v>
      </c>
      <c r="V65" s="113">
        <f t="shared" si="852"/>
        <v>2923</v>
      </c>
      <c r="W65" s="113">
        <f t="shared" si="853"/>
        <v>26248.54</v>
      </c>
      <c r="X65" s="113">
        <f t="shared" si="854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55"/>
        <v>0</v>
      </c>
      <c r="AF65" s="95">
        <f t="shared" si="856"/>
        <v>0</v>
      </c>
      <c r="AG65" s="114">
        <v>0</v>
      </c>
      <c r="AH65" s="95">
        <f t="shared" si="857"/>
        <v>2923</v>
      </c>
      <c r="AI65" s="115">
        <f t="shared" si="858"/>
        <v>26248.54</v>
      </c>
      <c r="AJ65" s="95">
        <f t="shared" si="859"/>
        <v>0</v>
      </c>
      <c r="AK65" s="95">
        <f t="shared" si="908"/>
        <v>0</v>
      </c>
      <c r="AL65" s="95">
        <f t="shared" si="861"/>
        <v>5242</v>
      </c>
      <c r="AM65" s="95">
        <f t="shared" si="862"/>
        <v>6400</v>
      </c>
      <c r="AN65" s="95">
        <f t="shared" si="863"/>
        <v>27.403124999999999</v>
      </c>
      <c r="AO65" s="95" t="str">
        <f t="shared" si="864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65"/>
        <v>0-02</v>
      </c>
      <c r="AW65" s="117">
        <f t="shared" si="866"/>
        <v>0</v>
      </c>
      <c r="AX65" s="118"/>
      <c r="AY65" s="25">
        <f t="shared" si="868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9"/>
        <v>0</v>
      </c>
      <c r="BG65" s="29">
        <v>0</v>
      </c>
      <c r="BH65" s="29">
        <f t="shared" si="870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71"/>
        <v>3200</v>
      </c>
      <c r="BR65" s="95">
        <f t="shared" si="872"/>
        <v>2923</v>
      </c>
      <c r="BS65" s="95">
        <f t="shared" si="909"/>
        <v>-2477</v>
      </c>
      <c r="BT65" s="95">
        <f t="shared" si="909"/>
        <v>-2477</v>
      </c>
      <c r="BU65" s="95">
        <f t="shared" si="909"/>
        <v>-2477</v>
      </c>
      <c r="BV65" s="95">
        <f t="shared" si="909"/>
        <v>-2477</v>
      </c>
      <c r="BW65" s="95">
        <f t="shared" si="909"/>
        <v>-3477</v>
      </c>
      <c r="BX65" s="95">
        <f t="shared" si="910"/>
        <v>-6677</v>
      </c>
      <c r="BY65" s="95">
        <f t="shared" si="910"/>
        <v>-9877</v>
      </c>
      <c r="BZ65" s="95">
        <f t="shared" si="910"/>
        <v>-13077</v>
      </c>
      <c r="CA65" s="95">
        <f t="shared" si="910"/>
        <v>-16277</v>
      </c>
      <c r="CB65" s="95">
        <f t="shared" si="910"/>
        <v>-19477</v>
      </c>
      <c r="CC65" s="95">
        <f t="shared" si="910"/>
        <v>-22677</v>
      </c>
      <c r="CD65" s="95">
        <f t="shared" si="910"/>
        <v>-25877</v>
      </c>
      <c r="CE65" s="95">
        <f t="shared" si="910"/>
        <v>-29077</v>
      </c>
      <c r="CF65" s="95">
        <f t="shared" si="910"/>
        <v>-32277</v>
      </c>
      <c r="CG65" s="95">
        <f t="shared" si="910"/>
        <v>-35477</v>
      </c>
      <c r="CH65" s="95">
        <f t="shared" si="910"/>
        <v>-38677</v>
      </c>
      <c r="CI65" s="95">
        <f t="shared" si="910"/>
        <v>-41877</v>
      </c>
      <c r="CJ65" s="95">
        <f t="shared" si="910"/>
        <v>-45077</v>
      </c>
      <c r="CK65" s="95">
        <f t="shared" si="910"/>
        <v>-48277</v>
      </c>
      <c r="CL65" s="95">
        <f t="shared" si="910"/>
        <v>-51477</v>
      </c>
      <c r="CM65" s="95">
        <f t="shared" si="910"/>
        <v>-54677</v>
      </c>
      <c r="CN65" s="95">
        <f t="shared" si="910"/>
        <v>-57877</v>
      </c>
      <c r="CO65" s="95">
        <f t="shared" si="910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75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6"/>
        <v>0</v>
      </c>
      <c r="DB65" s="62">
        <f t="shared" si="877"/>
        <v>0</v>
      </c>
      <c r="DC65" s="62">
        <f t="shared" si="878"/>
        <v>0</v>
      </c>
      <c r="DD65" s="102">
        <f t="shared" si="879"/>
        <v>0</v>
      </c>
      <c r="DE65" s="31">
        <v>0</v>
      </c>
      <c r="DF65" s="31">
        <v>90</v>
      </c>
      <c r="DG65" s="31">
        <v>0</v>
      </c>
      <c r="DH65" s="48">
        <f t="shared" si="880"/>
        <v>0</v>
      </c>
      <c r="DI65" s="62">
        <v>2275.7740000000003</v>
      </c>
      <c r="DJ65" s="62">
        <v>13691.863000000001</v>
      </c>
      <c r="DK65" s="48">
        <f t="shared" si="881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82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83"/>
        <v>0</v>
      </c>
      <c r="DV65" s="62">
        <v>0</v>
      </c>
      <c r="DW65" s="62">
        <v>0</v>
      </c>
      <c r="DX65" s="62">
        <f t="shared" si="884"/>
        <v>0</v>
      </c>
      <c r="DY65" s="62">
        <f t="shared" si="885"/>
        <v>0</v>
      </c>
      <c r="DZ65" s="48">
        <f t="shared" si="886"/>
        <v>0</v>
      </c>
      <c r="EA65" s="62">
        <f t="shared" si="887"/>
        <v>16200</v>
      </c>
      <c r="EB65" s="62">
        <f t="shared" si="888"/>
        <v>145476</v>
      </c>
      <c r="EC65" s="48">
        <f t="shared" si="889"/>
        <v>0</v>
      </c>
      <c r="ED65" s="62">
        <f t="shared" si="890"/>
        <v>0</v>
      </c>
      <c r="EE65" s="62">
        <f t="shared" si="891"/>
        <v>0</v>
      </c>
      <c r="EF65" s="48">
        <f t="shared" si="892"/>
        <v>0</v>
      </c>
      <c r="EG65" s="62">
        <f t="shared" si="893"/>
        <v>0</v>
      </c>
      <c r="EH65" s="62">
        <f t="shared" si="894"/>
        <v>0</v>
      </c>
      <c r="EI65" s="48">
        <f t="shared" si="895"/>
        <v>0</v>
      </c>
      <c r="EJ65" s="62">
        <f t="shared" si="896"/>
        <v>0</v>
      </c>
      <c r="EK65" s="62">
        <f t="shared" si="897"/>
        <v>0</v>
      </c>
      <c r="EL65" s="48">
        <f t="shared" si="898"/>
        <v>0</v>
      </c>
      <c r="EM65" s="62">
        <f t="shared" si="899"/>
        <v>3000</v>
      </c>
      <c r="EN65" s="62">
        <f t="shared" si="900"/>
        <v>26940</v>
      </c>
      <c r="EO65" s="48">
        <f t="shared" si="901"/>
        <v>0</v>
      </c>
      <c r="EP65" s="62">
        <f t="shared" si="911"/>
        <v>0</v>
      </c>
      <c r="EQ65" s="62">
        <f t="shared" si="911"/>
        <v>48492</v>
      </c>
      <c r="ER65" s="62">
        <f t="shared" si="911"/>
        <v>0</v>
      </c>
      <c r="ES65" s="62">
        <f t="shared" si="912"/>
        <v>0</v>
      </c>
      <c r="ET65" s="62">
        <f t="shared" si="912"/>
        <v>0</v>
      </c>
      <c r="EU65" s="62">
        <f t="shared" si="912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903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 t="shared" si="57"/>
        <v>1</v>
      </c>
      <c r="FS65" s="103" t="b">
        <f t="shared" si="58"/>
        <v>0</v>
      </c>
      <c r="FT65" s="103" t="b">
        <f t="shared" si="59"/>
        <v>1</v>
      </c>
      <c r="FU65" s="103" t="b">
        <f t="shared" si="60"/>
        <v>0</v>
      </c>
      <c r="FV65" s="103" t="b">
        <f t="shared" si="61"/>
        <v>1</v>
      </c>
      <c r="FW65" s="104" t="b">
        <f t="shared" si="66"/>
        <v>0</v>
      </c>
      <c r="FX65" s="120" t="b">
        <f t="shared" si="904"/>
        <v>1</v>
      </c>
      <c r="FY65" s="104" t="s">
        <v>214</v>
      </c>
      <c r="FZ65" s="104" t="b">
        <f t="shared" si="905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6"/>
        <v>1</v>
      </c>
      <c r="GI65" s="8" t="b">
        <f t="shared" si="907"/>
        <v>0</v>
      </c>
    </row>
    <row r="66" spans="1:192" s="31" customFormat="1" hidden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9"/>
        <v>нет минмакс</v>
      </c>
      <c r="Q66" s="95">
        <v>689</v>
      </c>
      <c r="R66" s="95">
        <f t="shared" si="850"/>
        <v>14882.400000000001</v>
      </c>
      <c r="S66" s="112">
        <v>689</v>
      </c>
      <c r="T66" s="112">
        <v>14882.400000000001</v>
      </c>
      <c r="U66" s="112">
        <f t="shared" si="851"/>
        <v>0</v>
      </c>
      <c r="V66" s="113">
        <f t="shared" si="852"/>
        <v>689</v>
      </c>
      <c r="W66" s="113">
        <f t="shared" si="853"/>
        <v>14882.400000000001</v>
      </c>
      <c r="X66" s="113">
        <f t="shared" si="854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55"/>
        <v>0</v>
      </c>
      <c r="AF66" s="95">
        <f t="shared" si="856"/>
        <v>0</v>
      </c>
      <c r="AG66" s="114">
        <v>0</v>
      </c>
      <c r="AH66" s="95">
        <f t="shared" si="857"/>
        <v>689</v>
      </c>
      <c r="AI66" s="115">
        <f t="shared" si="858"/>
        <v>14882.400000000001</v>
      </c>
      <c r="AJ66" s="95">
        <f t="shared" si="859"/>
        <v>0</v>
      </c>
      <c r="AK66" s="95">
        <f t="shared" si="908"/>
        <v>0</v>
      </c>
      <c r="AL66" s="95">
        <f t="shared" si="861"/>
        <v>321</v>
      </c>
      <c r="AM66" s="95">
        <f t="shared" si="862"/>
        <v>400</v>
      </c>
      <c r="AN66" s="95">
        <f t="shared" si="863"/>
        <v>103.35</v>
      </c>
      <c r="AO66" s="95" t="str">
        <f t="shared" si="864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65"/>
        <v>0-08</v>
      </c>
      <c r="AW66" s="117">
        <f t="shared" si="866"/>
        <v>14882.400000000001</v>
      </c>
      <c r="AX66" s="14">
        <f>MONTH(BC66)-6</f>
        <v>5</v>
      </c>
      <c r="AY66" s="25">
        <f t="shared" si="868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9"/>
        <v>0</v>
      </c>
      <c r="BG66" s="29">
        <v>0</v>
      </c>
      <c r="BH66" s="29">
        <f t="shared" si="870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71"/>
        <v>200</v>
      </c>
      <c r="BR66" s="95">
        <f t="shared" si="872"/>
        <v>689</v>
      </c>
      <c r="BS66" s="95">
        <f t="shared" si="909"/>
        <v>351.5</v>
      </c>
      <c r="BT66" s="95">
        <f t="shared" si="909"/>
        <v>351.5</v>
      </c>
      <c r="BU66" s="95">
        <f t="shared" si="909"/>
        <v>351.5</v>
      </c>
      <c r="BV66" s="95">
        <f t="shared" si="909"/>
        <v>351.5</v>
      </c>
      <c r="BW66" s="95">
        <f t="shared" si="909"/>
        <v>289</v>
      </c>
      <c r="BX66" s="95">
        <f t="shared" si="910"/>
        <v>89</v>
      </c>
      <c r="BY66" s="95">
        <f t="shared" si="910"/>
        <v>-111</v>
      </c>
      <c r="BZ66" s="95">
        <f t="shared" si="910"/>
        <v>-311</v>
      </c>
      <c r="CA66" s="95">
        <f t="shared" ref="CA66:CO66" si="913">BZ66-$BQ66</f>
        <v>-511</v>
      </c>
      <c r="CB66" s="95">
        <f t="shared" si="913"/>
        <v>-711</v>
      </c>
      <c r="CC66" s="95">
        <f t="shared" si="913"/>
        <v>-911</v>
      </c>
      <c r="CD66" s="95">
        <f t="shared" si="913"/>
        <v>-1111</v>
      </c>
      <c r="CE66" s="95">
        <f t="shared" si="913"/>
        <v>-1311</v>
      </c>
      <c r="CF66" s="95">
        <f t="shared" si="913"/>
        <v>-1511</v>
      </c>
      <c r="CG66" s="95">
        <f t="shared" si="913"/>
        <v>-1711</v>
      </c>
      <c r="CH66" s="95">
        <f t="shared" si="913"/>
        <v>-1911</v>
      </c>
      <c r="CI66" s="95">
        <f t="shared" si="913"/>
        <v>-2111</v>
      </c>
      <c r="CJ66" s="95">
        <f t="shared" si="913"/>
        <v>-2311</v>
      </c>
      <c r="CK66" s="95">
        <f t="shared" si="913"/>
        <v>-2511</v>
      </c>
      <c r="CL66" s="95">
        <f t="shared" si="913"/>
        <v>-2711</v>
      </c>
      <c r="CM66" s="95">
        <f t="shared" si="913"/>
        <v>-2911</v>
      </c>
      <c r="CN66" s="95">
        <f t="shared" si="913"/>
        <v>-3111</v>
      </c>
      <c r="CO66" s="95">
        <f t="shared" si="913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75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6"/>
        <v>0</v>
      </c>
      <c r="DB66" s="62">
        <f t="shared" si="877"/>
        <v>0</v>
      </c>
      <c r="DC66" s="62">
        <f t="shared" si="878"/>
        <v>0</v>
      </c>
      <c r="DD66" s="102">
        <f t="shared" si="879"/>
        <v>0</v>
      </c>
      <c r="DE66" s="31">
        <v>0</v>
      </c>
      <c r="DF66" s="31">
        <v>90</v>
      </c>
      <c r="DG66" s="31">
        <v>0</v>
      </c>
      <c r="DH66" s="48">
        <f t="shared" si="880"/>
        <v>0</v>
      </c>
      <c r="DI66" s="62">
        <v>268.935</v>
      </c>
      <c r="DJ66" s="62">
        <v>6213.0810000000001</v>
      </c>
      <c r="DK66" s="48">
        <f t="shared" si="881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82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83"/>
        <v>0</v>
      </c>
      <c r="DV66" s="62">
        <v>0</v>
      </c>
      <c r="DW66" s="62">
        <v>0</v>
      </c>
      <c r="DX66" s="62">
        <f t="shared" si="884"/>
        <v>0</v>
      </c>
      <c r="DY66" s="62">
        <f t="shared" si="885"/>
        <v>0</v>
      </c>
      <c r="DZ66" s="48">
        <f t="shared" si="886"/>
        <v>0</v>
      </c>
      <c r="EA66" s="62">
        <f t="shared" si="887"/>
        <v>1012.5</v>
      </c>
      <c r="EB66" s="62">
        <f t="shared" si="888"/>
        <v>21870</v>
      </c>
      <c r="EC66" s="48">
        <f t="shared" si="889"/>
        <v>0</v>
      </c>
      <c r="ED66" s="62">
        <f t="shared" si="890"/>
        <v>0</v>
      </c>
      <c r="EE66" s="62">
        <f t="shared" si="891"/>
        <v>0</v>
      </c>
      <c r="EF66" s="48">
        <f t="shared" si="892"/>
        <v>0</v>
      </c>
      <c r="EG66" s="62">
        <f t="shared" si="893"/>
        <v>0</v>
      </c>
      <c r="EH66" s="62">
        <f t="shared" si="894"/>
        <v>0</v>
      </c>
      <c r="EI66" s="48">
        <f t="shared" si="895"/>
        <v>0</v>
      </c>
      <c r="EJ66" s="62">
        <f t="shared" si="896"/>
        <v>0</v>
      </c>
      <c r="EK66" s="62">
        <f t="shared" si="897"/>
        <v>0</v>
      </c>
      <c r="EL66" s="48">
        <f t="shared" si="898"/>
        <v>0</v>
      </c>
      <c r="EM66" s="62">
        <f t="shared" si="899"/>
        <v>187.5</v>
      </c>
      <c r="EN66" s="62">
        <f t="shared" si="900"/>
        <v>4050.0000000000005</v>
      </c>
      <c r="EO66" s="48">
        <f t="shared" si="901"/>
        <v>0</v>
      </c>
      <c r="EP66" s="62">
        <f t="shared" si="911"/>
        <v>0</v>
      </c>
      <c r="EQ66" s="62">
        <f t="shared" si="911"/>
        <v>7290.0000000000009</v>
      </c>
      <c r="ER66" s="62">
        <f t="shared" si="911"/>
        <v>0</v>
      </c>
      <c r="ES66" s="62">
        <f t="shared" si="912"/>
        <v>0</v>
      </c>
      <c r="ET66" s="62">
        <f t="shared" si="912"/>
        <v>0</v>
      </c>
      <c r="EU66" s="62">
        <f t="shared" si="912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903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 t="shared" si="57"/>
        <v>1</v>
      </c>
      <c r="FS66" s="103" t="b">
        <f t="shared" si="58"/>
        <v>1</v>
      </c>
      <c r="FT66" s="103" t="b">
        <f t="shared" si="59"/>
        <v>1</v>
      </c>
      <c r="FU66" s="103" t="b">
        <f t="shared" si="60"/>
        <v>0</v>
      </c>
      <c r="FV66" s="103" t="b">
        <f t="shared" si="61"/>
        <v>1</v>
      </c>
      <c r="FW66" s="104" t="b">
        <f t="shared" si="66"/>
        <v>0</v>
      </c>
      <c r="FX66" s="120" t="b">
        <f t="shared" si="904"/>
        <v>1</v>
      </c>
      <c r="FY66" s="104" t="s">
        <v>214</v>
      </c>
      <c r="FZ66" s="104" t="b">
        <f t="shared" si="905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6"/>
        <v>1</v>
      </c>
      <c r="GI66" s="8" t="b">
        <f t="shared" si="907"/>
        <v>0</v>
      </c>
    </row>
    <row r="67" spans="1:192" s="31" customFormat="1" ht="30" hidden="1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14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15">Q67*FH67</f>
        <v>465533.04000000004</v>
      </c>
      <c r="S67" s="115">
        <v>81816</v>
      </c>
      <c r="T67" s="115">
        <v>465533.04000000004</v>
      </c>
      <c r="U67" s="115">
        <f t="shared" ref="U67" si="916">IFERROR(ROUNDUP(S67/$EX67,0)*$EY67,0)</f>
        <v>41</v>
      </c>
      <c r="V67" s="115">
        <f t="shared" ref="V67" si="917">SUM(Z67:AD67)</f>
        <v>81816</v>
      </c>
      <c r="W67" s="115">
        <f t="shared" ref="W67" si="918">V67*FH67</f>
        <v>465533.04000000004</v>
      </c>
      <c r="X67" s="115">
        <f t="shared" ref="X67" si="919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20">AA67*FH67</f>
        <v>0</v>
      </c>
      <c r="AF67" s="95">
        <f t="shared" ref="AF67" si="921">AB67*FH67</f>
        <v>0</v>
      </c>
      <c r="AG67" s="114">
        <v>0</v>
      </c>
      <c r="AH67" s="95">
        <f t="shared" ref="AH67" si="922">V67-AG67</f>
        <v>81816</v>
      </c>
      <c r="AI67" s="115">
        <f t="shared" ref="AI67" si="923">IF(AH67&gt;0,AH67*FH67,0)</f>
        <v>465533.04000000004</v>
      </c>
      <c r="AJ67" s="115">
        <f t="shared" ref="AJ67" si="924">CU67</f>
        <v>0</v>
      </c>
      <c r="AK67" s="115">
        <f t="shared" ref="AK67" si="925">SUM(CS67:CU67)</f>
        <v>0</v>
      </c>
      <c r="AL67" s="115">
        <f t="shared" ref="AL67" si="926">SUM(CP67:CU67)</f>
        <v>0</v>
      </c>
      <c r="AM67" s="115">
        <f t="shared" ref="AM67" si="927">SUM(BK67:BP67)</f>
        <v>0</v>
      </c>
      <c r="AN67" s="95" t="str">
        <f t="shared" ref="AN67" si="928">IFERROR(S67/BQ67*30,"нет оборота")</f>
        <v>нет оборота</v>
      </c>
      <c r="AO67" s="95" t="str">
        <f t="shared" ref="AO67" si="929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30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31">IF(AT67="Да",W67,0)</f>
        <v>465533.04000000004</v>
      </c>
      <c r="AX67" s="124"/>
      <c r="AY67" s="115">
        <f t="shared" ref="AY67" si="932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33">BE67*FH67</f>
        <v>0</v>
      </c>
      <c r="BG67" s="29">
        <v>0</v>
      </c>
      <c r="BH67" s="29">
        <f t="shared" ref="BH67" si="934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35">IF(COUNTIF(BK67:BP67,"&gt;0")=0,0,SUM(BK67:BP67)/COUNTIF(BK67:BP67,"&gt;0"))</f>
        <v>0</v>
      </c>
      <c r="BR67" s="95">
        <f t="shared" ref="BR67" si="936">IF(OR(Q67=0,SUM(BK67:BP67)=0,V67&gt;Q67),V67-BK67,Q67-BK67)</f>
        <v>81816</v>
      </c>
      <c r="BS67" s="95">
        <f t="shared" ref="BS67:BW67" si="937">BR67-BL67</f>
        <v>81816</v>
      </c>
      <c r="BT67" s="95">
        <f t="shared" si="937"/>
        <v>81816</v>
      </c>
      <c r="BU67" s="95">
        <f t="shared" si="937"/>
        <v>81816</v>
      </c>
      <c r="BV67" s="95">
        <f t="shared" si="937"/>
        <v>81816</v>
      </c>
      <c r="BW67" s="95">
        <f t="shared" si="937"/>
        <v>81816</v>
      </c>
      <c r="BX67" s="95">
        <f t="shared" ref="BX67:CO67" si="938">BW67-$BQ67</f>
        <v>81816</v>
      </c>
      <c r="BY67" s="95">
        <f t="shared" si="938"/>
        <v>81816</v>
      </c>
      <c r="BZ67" s="95">
        <f t="shared" si="938"/>
        <v>81816</v>
      </c>
      <c r="CA67" s="95">
        <f t="shared" si="938"/>
        <v>81816</v>
      </c>
      <c r="CB67" s="95">
        <f t="shared" si="938"/>
        <v>81816</v>
      </c>
      <c r="CC67" s="95">
        <f t="shared" si="938"/>
        <v>81816</v>
      </c>
      <c r="CD67" s="95">
        <f t="shared" si="938"/>
        <v>81816</v>
      </c>
      <c r="CE67" s="95">
        <f t="shared" si="938"/>
        <v>81816</v>
      </c>
      <c r="CF67" s="95">
        <f t="shared" si="938"/>
        <v>81816</v>
      </c>
      <c r="CG67" s="95">
        <f t="shared" si="938"/>
        <v>81816</v>
      </c>
      <c r="CH67" s="95">
        <f t="shared" si="938"/>
        <v>81816</v>
      </c>
      <c r="CI67" s="95">
        <f t="shared" si="938"/>
        <v>81816</v>
      </c>
      <c r="CJ67" s="95">
        <f t="shared" si="938"/>
        <v>81816</v>
      </c>
      <c r="CK67" s="95">
        <f t="shared" si="938"/>
        <v>81816</v>
      </c>
      <c r="CL67" s="95">
        <f t="shared" si="938"/>
        <v>81816</v>
      </c>
      <c r="CM67" s="95">
        <f t="shared" si="938"/>
        <v>81816</v>
      </c>
      <c r="CN67" s="95">
        <f t="shared" si="938"/>
        <v>81816</v>
      </c>
      <c r="CO67" s="95">
        <f t="shared" si="938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9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40">IFERROR(CZ67/CY67,0)</f>
        <v>0</v>
      </c>
      <c r="DB67" s="62">
        <f t="shared" ref="DB67" si="941">CY67*FH67</f>
        <v>0</v>
      </c>
      <c r="DC67" s="62">
        <f t="shared" ref="DC67" si="942">CZ67*FH67</f>
        <v>0</v>
      </c>
      <c r="DD67" s="102">
        <f t="shared" ref="DD67" si="943">IFERROR(DC67/DB67,0)</f>
        <v>0</v>
      </c>
      <c r="DE67" s="31">
        <v>0</v>
      </c>
      <c r="DG67" s="31">
        <v>0</v>
      </c>
      <c r="DH67" s="48">
        <f t="shared" ref="DH67" si="944">IFERROR(ROUNDUP(DG67/$EX67,0)*$EY67,0)</f>
        <v>0</v>
      </c>
      <c r="DI67" s="62">
        <v>81816</v>
      </c>
      <c r="DJ67" s="62">
        <v>465835.85</v>
      </c>
      <c r="DK67" s="48">
        <f t="shared" ref="DK67" si="945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6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7">IFERROR(ROUNDUP(DS67/$EX67,0)*$EY67,0)</f>
        <v>41</v>
      </c>
      <c r="DV67" s="62">
        <v>0</v>
      </c>
      <c r="DW67" s="62">
        <v>0</v>
      </c>
      <c r="DX67" s="62">
        <f t="shared" ref="DX67" si="948">$DF67*BK67/30</f>
        <v>0</v>
      </c>
      <c r="DY67" s="62">
        <f t="shared" ref="DY67" si="949">DX67*$FH67</f>
        <v>0</v>
      </c>
      <c r="DZ67" s="48">
        <f t="shared" ref="DZ67" si="950">IFERROR(ROUNDUP(DX67/$EX67,0)*$EY67,0)</f>
        <v>0</v>
      </c>
      <c r="EA67" s="62">
        <f t="shared" ref="EA67" si="951">$DF67*BL67/30</f>
        <v>0</v>
      </c>
      <c r="EB67" s="62">
        <f t="shared" ref="EB67" si="952">EA67*$FH67</f>
        <v>0</v>
      </c>
      <c r="EC67" s="48">
        <f t="shared" ref="EC67" si="953">IFERROR(ROUNDUP(EA67/$EX67,0)*$EY67,0)</f>
        <v>0</v>
      </c>
      <c r="ED67" s="62">
        <f t="shared" ref="ED67" si="954">$DF67*BM67/30</f>
        <v>0</v>
      </c>
      <c r="EE67" s="62">
        <f t="shared" ref="EE67" si="955">ED67*$FH67</f>
        <v>0</v>
      </c>
      <c r="EF67" s="48">
        <f t="shared" ref="EF67" si="956">IFERROR(ROUNDUP(ED67/$EX67,0)*$EY67,0)</f>
        <v>0</v>
      </c>
      <c r="EG67" s="62">
        <f t="shared" ref="EG67" si="957">$DF67*BN67/30</f>
        <v>0</v>
      </c>
      <c r="EH67" s="62">
        <f t="shared" ref="EH67" si="958">EG67*$FH67</f>
        <v>0</v>
      </c>
      <c r="EI67" s="48">
        <f t="shared" ref="EI67" si="959">IFERROR(ROUNDUP(EG67/$EX67,0)*$EY67,0)</f>
        <v>0</v>
      </c>
      <c r="EJ67" s="62">
        <f t="shared" ref="EJ67" si="960">$DF67*BO67/30</f>
        <v>0</v>
      </c>
      <c r="EK67" s="62">
        <f t="shared" ref="EK67" si="961">EJ67*$FH67</f>
        <v>0</v>
      </c>
      <c r="EL67" s="48">
        <f t="shared" ref="EL67" si="962">IFERROR(ROUNDUP(EJ67/$EX67,0)*$EY67,0)</f>
        <v>0</v>
      </c>
      <c r="EM67" s="62">
        <f t="shared" ref="EM67" si="963">$DF67*BP67/30</f>
        <v>0</v>
      </c>
      <c r="EN67" s="62">
        <f t="shared" ref="EN67" si="964">EM67*$FH67</f>
        <v>0</v>
      </c>
      <c r="EO67" s="48">
        <f t="shared" ref="EO67" si="965">IFERROR(ROUNDUP(EM67/$EX67,0)*$EY67,0)</f>
        <v>0</v>
      </c>
      <c r="EP67" s="62">
        <f t="shared" ref="EP67:ER67" si="966">BK67*$FH67</f>
        <v>0</v>
      </c>
      <c r="EQ67" s="62">
        <f t="shared" si="966"/>
        <v>0</v>
      </c>
      <c r="ER67" s="62">
        <f t="shared" si="966"/>
        <v>0</v>
      </c>
      <c r="ES67" s="62">
        <f t="shared" ref="ES67:EU67" si="967">BN67*$FH67</f>
        <v>0</v>
      </c>
      <c r="ET67" s="62">
        <f t="shared" si="967"/>
        <v>0</v>
      </c>
      <c r="EU67" s="62">
        <f t="shared" si="967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8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 t="shared" si="57"/>
        <v>1</v>
      </c>
      <c r="FS67" s="120" t="b">
        <f t="shared" si="58"/>
        <v>1</v>
      </c>
      <c r="FT67" s="120" t="b">
        <f t="shared" si="59"/>
        <v>1</v>
      </c>
      <c r="FU67" s="120" t="b">
        <f t="shared" si="60"/>
        <v>1</v>
      </c>
      <c r="FV67" s="120" t="b">
        <f t="shared" si="61"/>
        <v>1</v>
      </c>
      <c r="FW67" s="104" t="b">
        <f t="shared" si="66"/>
        <v>0</v>
      </c>
      <c r="FX67" s="120" t="b">
        <f t="shared" ref="FX67" si="969">EXACT(FQ67,BI67)</f>
        <v>1</v>
      </c>
      <c r="FY67" s="104" t="s">
        <v>371</v>
      </c>
      <c r="FZ67" s="104" t="b">
        <f t="shared" ref="FZ67" si="970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71">EXACT(GD67,C67)</f>
        <v>1</v>
      </c>
      <c r="GI67" s="8" t="b">
        <f t="shared" ref="GI67" si="972">EXACT(GG67,G67)</f>
        <v>0</v>
      </c>
      <c r="GJ67" s="31" t="s">
        <v>203</v>
      </c>
    </row>
    <row r="68" spans="1:192" s="31" customFormat="1" ht="105" hidden="1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73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74">Q68*FH68</f>
        <v>280526.88</v>
      </c>
      <c r="S68" s="94">
        <v>636</v>
      </c>
      <c r="T68" s="94">
        <v>280526.88</v>
      </c>
      <c r="U68" s="94">
        <f t="shared" ref="U68:U71" si="975">IFERROR(ROUNDUP(S68/$EX68,0)*$EY68,0)</f>
        <v>2</v>
      </c>
      <c r="V68" s="94">
        <f t="shared" ref="V68:V71" si="976">SUM(Z68:AD68)</f>
        <v>624</v>
      </c>
      <c r="W68" s="94">
        <f t="shared" ref="W68:W71" si="977">V68*FH68</f>
        <v>275233.91999999998</v>
      </c>
      <c r="X68" s="94">
        <f t="shared" ref="X68:X71" si="978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9">AA68*FH68</f>
        <v>0</v>
      </c>
      <c r="AF68" s="95">
        <f t="shared" ref="AF68:AF71" si="980">AB68*FH68</f>
        <v>0</v>
      </c>
      <c r="AG68" s="96">
        <v>1686</v>
      </c>
      <c r="AH68" s="95">
        <f t="shared" ref="AH68:AH71" si="981">V68-AG68</f>
        <v>-1062</v>
      </c>
      <c r="AI68" s="94">
        <f t="shared" ref="AI68:AI71" si="982">IF(AH68&gt;0,AH68*FH68,0)</f>
        <v>0</v>
      </c>
      <c r="AJ68" s="94">
        <f t="shared" ref="AJ68:AJ71" si="983">CU68</f>
        <v>0</v>
      </c>
      <c r="AK68" s="94">
        <f t="shared" ref="AK68:AK71" si="984">SUM(CS68:CU68)</f>
        <v>480</v>
      </c>
      <c r="AL68" s="94">
        <f t="shared" ref="AL68:AL71" si="985">SUM(CP68:CU68)</f>
        <v>480</v>
      </c>
      <c r="AM68" s="94">
        <f t="shared" ref="AM68:AM71" si="986">SUM(BK68:BP68)</f>
        <v>1602</v>
      </c>
      <c r="AN68" s="94">
        <f t="shared" ref="AN68:AN71" si="987">IFERROR(S68/BQ68*30,"нет оборота")</f>
        <v>71.460674157303373</v>
      </c>
      <c r="AO68" s="94" t="str">
        <f t="shared" ref="AO68:AO71" si="988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9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90">IF(AT68="Да",W68,0)</f>
        <v>275233.91999999998</v>
      </c>
      <c r="AX68" s="14">
        <f t="shared" ref="AX68:AX71" si="991">MONTH(BC68)-6</f>
        <v>6</v>
      </c>
      <c r="AY68" s="94">
        <f t="shared" ref="AY68:AY71" si="992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93">BE68*FH68</f>
        <v>0</v>
      </c>
      <c r="BG68" s="29">
        <v>0</v>
      </c>
      <c r="BH68" s="29">
        <f t="shared" ref="BH68:BH71" si="994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95">IF(COUNTIF(BK68:BP68,"&gt;0")=0,0,SUM(BK68:BP68)/COUNTIF(BK68:BP68,"&gt;0"))</f>
        <v>267</v>
      </c>
      <c r="BR68" s="95">
        <f t="shared" ref="BR68:BR71" si="996">IF(OR(Q68=0,SUM(BK68:BP68)=0,V68&gt;Q68),V68-BK68,Q68-BK68)</f>
        <v>369</v>
      </c>
      <c r="BS68" s="95">
        <f t="shared" ref="BS68:BW71" si="997">BR68-BL68</f>
        <v>102</v>
      </c>
      <c r="BT68" s="95">
        <f t="shared" si="997"/>
        <v>-165</v>
      </c>
      <c r="BU68" s="95">
        <f t="shared" si="997"/>
        <v>-432</v>
      </c>
      <c r="BV68" s="95">
        <f t="shared" si="997"/>
        <v>-699</v>
      </c>
      <c r="BW68" s="95">
        <f t="shared" si="997"/>
        <v>-966</v>
      </c>
      <c r="BX68" s="95">
        <f t="shared" ref="BX68:CO71" si="998">BW68-$BQ68</f>
        <v>-1233</v>
      </c>
      <c r="BY68" s="95">
        <f t="shared" si="998"/>
        <v>-1500</v>
      </c>
      <c r="BZ68" s="95">
        <f t="shared" si="998"/>
        <v>-1767</v>
      </c>
      <c r="CA68" s="95">
        <f t="shared" si="998"/>
        <v>-2034</v>
      </c>
      <c r="CB68" s="95">
        <f t="shared" si="998"/>
        <v>-2301</v>
      </c>
      <c r="CC68" s="95">
        <f t="shared" si="998"/>
        <v>-2568</v>
      </c>
      <c r="CD68" s="95">
        <f t="shared" si="998"/>
        <v>-2835</v>
      </c>
      <c r="CE68" s="95">
        <f t="shared" si="998"/>
        <v>-3102</v>
      </c>
      <c r="CF68" s="95">
        <f t="shared" si="998"/>
        <v>-3369</v>
      </c>
      <c r="CG68" s="95">
        <f t="shared" si="998"/>
        <v>-3636</v>
      </c>
      <c r="CH68" s="95">
        <f t="shared" si="998"/>
        <v>-3903</v>
      </c>
      <c r="CI68" s="95">
        <f t="shared" si="998"/>
        <v>-4170</v>
      </c>
      <c r="CJ68" s="95">
        <f t="shared" si="998"/>
        <v>-4437</v>
      </c>
      <c r="CK68" s="95">
        <f t="shared" si="998"/>
        <v>-4704</v>
      </c>
      <c r="CL68" s="95">
        <f t="shared" si="998"/>
        <v>-4971</v>
      </c>
      <c r="CM68" s="95">
        <f t="shared" si="998"/>
        <v>-5238</v>
      </c>
      <c r="CN68" s="95">
        <f t="shared" si="998"/>
        <v>-5505</v>
      </c>
      <c r="CO68" s="95">
        <f t="shared" si="998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9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1000">IFERROR(CZ68/CY68,0)</f>
        <v>0</v>
      </c>
      <c r="DB68" s="62">
        <f t="shared" ref="DB68:DB71" si="1001">CY68*FH68</f>
        <v>0</v>
      </c>
      <c r="DC68" s="62">
        <f t="shared" ref="DC68:DC71" si="1002">CZ68*FH68</f>
        <v>211718.39999999999</v>
      </c>
      <c r="DD68" s="102">
        <f t="shared" ref="DD68:DD71" si="1003">IFERROR(DC68/DB68,0)</f>
        <v>0</v>
      </c>
      <c r="DE68" s="31">
        <v>0</v>
      </c>
      <c r="DG68" s="31">
        <v>0</v>
      </c>
      <c r="DH68" s="48">
        <f t="shared" ref="DH68:DH71" si="1004">IFERROR(ROUNDUP(DG68/$EX68,0)*$EY68,0)</f>
        <v>0</v>
      </c>
      <c r="DI68" s="62">
        <v>1116</v>
      </c>
      <c r="DJ68" s="62">
        <v>492241.97</v>
      </c>
      <c r="DK68" s="48">
        <f t="shared" ref="DK68:DK71" si="1005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6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7">IFERROR(ROUNDUP(DS68/$EX68,0)*$EY68,0)</f>
        <v>3</v>
      </c>
      <c r="DV68" s="62">
        <v>480</v>
      </c>
      <c r="DW68" s="62">
        <v>211716.97411764707</v>
      </c>
      <c r="DX68" s="62">
        <f t="shared" ref="DX68:DX71" si="1008">$DF68*BK68/30</f>
        <v>0</v>
      </c>
      <c r="DY68" s="62">
        <f t="shared" ref="DY68:DY71" si="1009">DX68*$FH68</f>
        <v>0</v>
      </c>
      <c r="DZ68" s="48">
        <f t="shared" ref="DZ68:DZ71" si="1010">IFERROR(ROUNDUP(DX68/$EX68,0)*$EY68,0)</f>
        <v>0</v>
      </c>
      <c r="EA68" s="62">
        <f t="shared" ref="EA68:EA71" si="1011">$DF68*BL68/30</f>
        <v>0</v>
      </c>
      <c r="EB68" s="62">
        <f t="shared" ref="EB68:EB71" si="1012">EA68*$FH68</f>
        <v>0</v>
      </c>
      <c r="EC68" s="48">
        <f t="shared" ref="EC68:EC71" si="1013">IFERROR(ROUNDUP(EA68/$EX68,0)*$EY68,0)</f>
        <v>0</v>
      </c>
      <c r="ED68" s="62">
        <f t="shared" ref="ED68:ED71" si="1014">$DF68*BM68/30</f>
        <v>0</v>
      </c>
      <c r="EE68" s="62">
        <f t="shared" ref="EE68:EE71" si="1015">ED68*$FH68</f>
        <v>0</v>
      </c>
      <c r="EF68" s="48">
        <f t="shared" ref="EF68:EF71" si="1016">IFERROR(ROUNDUP(ED68/$EX68,0)*$EY68,0)</f>
        <v>0</v>
      </c>
      <c r="EG68" s="62">
        <f t="shared" ref="EG68:EG71" si="1017">$DF68*BN68/30</f>
        <v>0</v>
      </c>
      <c r="EH68" s="62">
        <f t="shared" ref="EH68:EH71" si="1018">EG68*$FH68</f>
        <v>0</v>
      </c>
      <c r="EI68" s="48">
        <f t="shared" ref="EI68:EI71" si="1019">IFERROR(ROUNDUP(EG68/$EX68,0)*$EY68,0)</f>
        <v>0</v>
      </c>
      <c r="EJ68" s="62">
        <f t="shared" ref="EJ68:EJ71" si="1020">$DF68*BO68/30</f>
        <v>0</v>
      </c>
      <c r="EK68" s="62">
        <f t="shared" ref="EK68:EK71" si="1021">EJ68*$FH68</f>
        <v>0</v>
      </c>
      <c r="EL68" s="48">
        <f t="shared" ref="EL68:EL71" si="1022">IFERROR(ROUNDUP(EJ68/$EX68,0)*$EY68,0)</f>
        <v>0</v>
      </c>
      <c r="EM68" s="62">
        <f t="shared" ref="EM68:EM71" si="1023">$DF68*BP68/30</f>
        <v>0</v>
      </c>
      <c r="EN68" s="62">
        <f t="shared" ref="EN68:EN71" si="1024">EM68*$FH68</f>
        <v>0</v>
      </c>
      <c r="EO68" s="48">
        <f t="shared" ref="EO68:EO71" si="1025">IFERROR(ROUNDUP(EM68/$EX68,0)*$EY68,0)</f>
        <v>0</v>
      </c>
      <c r="EP68" s="62">
        <f t="shared" ref="EP68:ER71" si="1026">BK68*$FH68</f>
        <v>117768.36</v>
      </c>
      <c r="EQ68" s="62">
        <f t="shared" si="1026"/>
        <v>117768.36</v>
      </c>
      <c r="ER68" s="62">
        <f t="shared" si="1026"/>
        <v>117768.36</v>
      </c>
      <c r="ES68" s="62">
        <f t="shared" ref="ES68:EU71" si="1027">BN68*$FH68</f>
        <v>117768.36</v>
      </c>
      <c r="ET68" s="62">
        <f t="shared" si="1027"/>
        <v>117768.36</v>
      </c>
      <c r="EU68" s="62">
        <f t="shared" si="1027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8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 t="shared" si="57"/>
        <v>1</v>
      </c>
      <c r="FS68" s="104" t="b">
        <f t="shared" si="58"/>
        <v>1</v>
      </c>
      <c r="FT68" s="104" t="b">
        <f t="shared" si="59"/>
        <v>1</v>
      </c>
      <c r="FU68" s="104" t="b">
        <f t="shared" si="60"/>
        <v>1</v>
      </c>
      <c r="FV68" s="104" t="b">
        <f t="shared" si="61"/>
        <v>1</v>
      </c>
      <c r="FW68" s="104" t="b">
        <f t="shared" si="66"/>
        <v>0</v>
      </c>
      <c r="FX68" s="104" t="b">
        <f t="shared" ref="FX68:FX71" si="1029">EXACT(FQ68,BI68)</f>
        <v>1</v>
      </c>
      <c r="FY68" s="104" t="s">
        <v>214</v>
      </c>
      <c r="FZ68" s="104" t="b">
        <f t="shared" ref="FZ68:FZ71" si="1030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31">EXACT(GD68,C68)</f>
        <v>1</v>
      </c>
      <c r="GI68" s="108" t="b">
        <f t="shared" ref="GI68:GI71" si="1032">EXACT(GG68,G68)</f>
        <v>0</v>
      </c>
    </row>
    <row r="69" spans="1:192" s="31" customFormat="1" ht="60" hidden="1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73"/>
        <v>нет минмакс</v>
      </c>
      <c r="Q69" s="95">
        <v>2730</v>
      </c>
      <c r="R69" s="95">
        <f t="shared" si="974"/>
        <v>210428.4</v>
      </c>
      <c r="S69" s="112">
        <v>2730</v>
      </c>
      <c r="T69" s="112">
        <v>210428.4</v>
      </c>
      <c r="U69" s="112">
        <f t="shared" si="975"/>
        <v>4.5</v>
      </c>
      <c r="V69" s="113">
        <f t="shared" si="976"/>
        <v>2730</v>
      </c>
      <c r="W69" s="113">
        <f t="shared" si="977"/>
        <v>210428.4</v>
      </c>
      <c r="X69" s="113">
        <f t="shared" si="978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9"/>
        <v>0</v>
      </c>
      <c r="AF69" s="95">
        <f t="shared" si="980"/>
        <v>0</v>
      </c>
      <c r="AG69" s="114">
        <v>0</v>
      </c>
      <c r="AH69" s="95">
        <f t="shared" si="981"/>
        <v>2730</v>
      </c>
      <c r="AI69" s="115">
        <f t="shared" si="982"/>
        <v>210428.4</v>
      </c>
      <c r="AJ69" s="95">
        <f t="shared" si="983"/>
        <v>0</v>
      </c>
      <c r="AK69" s="95">
        <f t="shared" si="984"/>
        <v>0</v>
      </c>
      <c r="AL69" s="95">
        <f t="shared" si="985"/>
        <v>0</v>
      </c>
      <c r="AM69" s="95">
        <f t="shared" si="986"/>
        <v>267</v>
      </c>
      <c r="AN69" s="95">
        <f t="shared" si="987"/>
        <v>306.74157303370788</v>
      </c>
      <c r="AO69" s="95" t="str">
        <f t="shared" si="988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9"/>
        <v>0-16</v>
      </c>
      <c r="AW69" s="117">
        <f t="shared" si="990"/>
        <v>210428.4</v>
      </c>
      <c r="AX69" s="14">
        <f t="shared" si="991"/>
        <v>6</v>
      </c>
      <c r="AY69" s="25">
        <f t="shared" si="992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93"/>
        <v>0</v>
      </c>
      <c r="BG69" s="29">
        <v>0</v>
      </c>
      <c r="BH69" s="29">
        <f t="shared" si="994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95"/>
        <v>267</v>
      </c>
      <c r="BR69" s="95">
        <f t="shared" si="996"/>
        <v>2730</v>
      </c>
      <c r="BS69" s="95">
        <f t="shared" si="997"/>
        <v>2730</v>
      </c>
      <c r="BT69" s="95">
        <f t="shared" si="997"/>
        <v>2730</v>
      </c>
      <c r="BU69" s="95">
        <f t="shared" si="997"/>
        <v>2730</v>
      </c>
      <c r="BV69" s="95">
        <f t="shared" si="997"/>
        <v>2730</v>
      </c>
      <c r="BW69" s="95">
        <f t="shared" si="997"/>
        <v>2463</v>
      </c>
      <c r="BX69" s="95">
        <f t="shared" si="998"/>
        <v>2196</v>
      </c>
      <c r="BY69" s="95">
        <f t="shared" si="998"/>
        <v>1929</v>
      </c>
      <c r="BZ69" s="95">
        <f t="shared" si="998"/>
        <v>1662</v>
      </c>
      <c r="CA69" s="95">
        <f t="shared" si="998"/>
        <v>1395</v>
      </c>
      <c r="CB69" s="95">
        <f t="shared" si="998"/>
        <v>1128</v>
      </c>
      <c r="CC69" s="95">
        <f t="shared" si="998"/>
        <v>861</v>
      </c>
      <c r="CD69" s="95">
        <f t="shared" si="998"/>
        <v>594</v>
      </c>
      <c r="CE69" s="95">
        <f t="shared" si="998"/>
        <v>327</v>
      </c>
      <c r="CF69" s="95">
        <f t="shared" si="998"/>
        <v>60</v>
      </c>
      <c r="CG69" s="95">
        <f t="shared" si="998"/>
        <v>-207</v>
      </c>
      <c r="CH69" s="95">
        <f t="shared" si="998"/>
        <v>-474</v>
      </c>
      <c r="CI69" s="95">
        <f t="shared" si="998"/>
        <v>-741</v>
      </c>
      <c r="CJ69" s="95">
        <f t="shared" si="998"/>
        <v>-1008</v>
      </c>
      <c r="CK69" s="95">
        <f t="shared" si="998"/>
        <v>-1275</v>
      </c>
      <c r="CL69" s="95">
        <f t="shared" si="998"/>
        <v>-1542</v>
      </c>
      <c r="CM69" s="95">
        <f t="shared" si="998"/>
        <v>-1809</v>
      </c>
      <c r="CN69" s="95">
        <f t="shared" si="998"/>
        <v>-2076</v>
      </c>
      <c r="CO69" s="95">
        <f t="shared" si="998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9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1000"/>
        <v>0</v>
      </c>
      <c r="DB69" s="62">
        <f t="shared" si="1001"/>
        <v>0</v>
      </c>
      <c r="DC69" s="62">
        <f t="shared" si="1002"/>
        <v>0</v>
      </c>
      <c r="DD69" s="102">
        <f t="shared" si="1003"/>
        <v>0</v>
      </c>
      <c r="DE69" s="31">
        <v>0</v>
      </c>
      <c r="DF69" s="31">
        <v>30</v>
      </c>
      <c r="DG69" s="31">
        <v>2370</v>
      </c>
      <c r="DH69" s="48">
        <f t="shared" si="1004"/>
        <v>3</v>
      </c>
      <c r="DI69" s="62">
        <v>2730</v>
      </c>
      <c r="DJ69" s="62">
        <v>210431.34999999998</v>
      </c>
      <c r="DK69" s="48">
        <f t="shared" si="1005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6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7"/>
        <v>4.5</v>
      </c>
      <c r="DV69" s="62">
        <v>0</v>
      </c>
      <c r="DW69" s="62">
        <v>0</v>
      </c>
      <c r="DX69" s="62">
        <f t="shared" si="1008"/>
        <v>0</v>
      </c>
      <c r="DY69" s="62">
        <f t="shared" si="1009"/>
        <v>0</v>
      </c>
      <c r="DZ69" s="48">
        <f t="shared" si="1010"/>
        <v>0</v>
      </c>
      <c r="EA69" s="62">
        <f t="shared" si="1011"/>
        <v>0</v>
      </c>
      <c r="EB69" s="62">
        <f t="shared" si="1012"/>
        <v>0</v>
      </c>
      <c r="EC69" s="48">
        <f t="shared" si="1013"/>
        <v>0</v>
      </c>
      <c r="ED69" s="62">
        <f t="shared" si="1014"/>
        <v>0</v>
      </c>
      <c r="EE69" s="62">
        <f t="shared" si="1015"/>
        <v>0</v>
      </c>
      <c r="EF69" s="48">
        <f t="shared" si="1016"/>
        <v>0</v>
      </c>
      <c r="EG69" s="62">
        <f t="shared" si="1017"/>
        <v>0</v>
      </c>
      <c r="EH69" s="62">
        <f t="shared" si="1018"/>
        <v>0</v>
      </c>
      <c r="EI69" s="48">
        <f t="shared" si="1019"/>
        <v>0</v>
      </c>
      <c r="EJ69" s="62">
        <f t="shared" si="1020"/>
        <v>0</v>
      </c>
      <c r="EK69" s="62">
        <f t="shared" si="1021"/>
        <v>0</v>
      </c>
      <c r="EL69" s="48">
        <f t="shared" si="1022"/>
        <v>0</v>
      </c>
      <c r="EM69" s="62">
        <f t="shared" si="1023"/>
        <v>267</v>
      </c>
      <c r="EN69" s="62">
        <f t="shared" si="1024"/>
        <v>20580.36</v>
      </c>
      <c r="EO69" s="48">
        <f t="shared" si="1025"/>
        <v>1.5</v>
      </c>
      <c r="EP69" s="62">
        <f t="shared" si="1026"/>
        <v>0</v>
      </c>
      <c r="EQ69" s="62">
        <f t="shared" si="1026"/>
        <v>0</v>
      </c>
      <c r="ER69" s="62">
        <f t="shared" si="1026"/>
        <v>0</v>
      </c>
      <c r="ES69" s="62">
        <f t="shared" si="1027"/>
        <v>0</v>
      </c>
      <c r="ET69" s="62">
        <f t="shared" si="1027"/>
        <v>0</v>
      </c>
      <c r="EU69" s="62">
        <f t="shared" si="1027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8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 t="shared" si="57"/>
        <v>1</v>
      </c>
      <c r="FS69" s="103" t="b">
        <f t="shared" si="58"/>
        <v>1</v>
      </c>
      <c r="FT69" s="103" t="b">
        <f t="shared" si="59"/>
        <v>1</v>
      </c>
      <c r="FU69" s="103" t="b">
        <f t="shared" si="60"/>
        <v>0</v>
      </c>
      <c r="FV69" s="103" t="b">
        <f t="shared" si="61"/>
        <v>1</v>
      </c>
      <c r="FW69" s="104" t="b">
        <f t="shared" si="66"/>
        <v>0</v>
      </c>
      <c r="FX69" s="120" t="b">
        <f t="shared" si="1029"/>
        <v>1</v>
      </c>
      <c r="FY69" s="104" t="s">
        <v>214</v>
      </c>
      <c r="FZ69" s="104" t="b">
        <f t="shared" si="1030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31"/>
        <v>1</v>
      </c>
      <c r="GI69" s="8" t="b">
        <f t="shared" si="1032"/>
        <v>0</v>
      </c>
    </row>
    <row r="70" spans="1:192" s="31" customFormat="1" ht="60" hidden="1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73"/>
        <v>нет минмакс</v>
      </c>
      <c r="Q70" s="95">
        <v>5625</v>
      </c>
      <c r="R70" s="95">
        <f t="shared" si="974"/>
        <v>21150</v>
      </c>
      <c r="S70" s="112">
        <v>5625</v>
      </c>
      <c r="T70" s="112">
        <v>21150</v>
      </c>
      <c r="U70" s="112">
        <f t="shared" si="975"/>
        <v>0</v>
      </c>
      <c r="V70" s="113">
        <f t="shared" si="976"/>
        <v>5625</v>
      </c>
      <c r="W70" s="113">
        <f t="shared" si="977"/>
        <v>21150</v>
      </c>
      <c r="X70" s="113">
        <f t="shared" si="978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9"/>
        <v>0</v>
      </c>
      <c r="AF70" s="95">
        <f t="shared" si="980"/>
        <v>0</v>
      </c>
      <c r="AG70" s="114">
        <v>0</v>
      </c>
      <c r="AH70" s="95">
        <f t="shared" si="981"/>
        <v>5625</v>
      </c>
      <c r="AI70" s="115">
        <f t="shared" si="982"/>
        <v>21150</v>
      </c>
      <c r="AJ70" s="95">
        <f t="shared" si="983"/>
        <v>0</v>
      </c>
      <c r="AK70" s="95">
        <f t="shared" si="984"/>
        <v>0</v>
      </c>
      <c r="AL70" s="95">
        <f t="shared" si="985"/>
        <v>0</v>
      </c>
      <c r="AM70" s="95">
        <f t="shared" si="986"/>
        <v>267</v>
      </c>
      <c r="AN70" s="95">
        <f t="shared" si="987"/>
        <v>632.02247191011236</v>
      </c>
      <c r="AO70" s="95" t="str">
        <f t="shared" si="988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9"/>
        <v>0-25 более 24</v>
      </c>
      <c r="AW70" s="117">
        <f t="shared" si="990"/>
        <v>21150</v>
      </c>
      <c r="AX70" s="14">
        <f t="shared" si="991"/>
        <v>6</v>
      </c>
      <c r="AY70" s="25">
        <f t="shared" si="992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93"/>
        <v>0</v>
      </c>
      <c r="BG70" s="29">
        <v>0</v>
      </c>
      <c r="BH70" s="29">
        <f t="shared" si="994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95"/>
        <v>267</v>
      </c>
      <c r="BR70" s="95">
        <f t="shared" si="996"/>
        <v>5625</v>
      </c>
      <c r="BS70" s="95">
        <f t="shared" si="997"/>
        <v>5625</v>
      </c>
      <c r="BT70" s="95">
        <f t="shared" si="997"/>
        <v>5625</v>
      </c>
      <c r="BU70" s="95">
        <f t="shared" si="997"/>
        <v>5625</v>
      </c>
      <c r="BV70" s="95">
        <f t="shared" si="997"/>
        <v>5625</v>
      </c>
      <c r="BW70" s="95">
        <f t="shared" si="997"/>
        <v>5358</v>
      </c>
      <c r="BX70" s="95">
        <f t="shared" si="998"/>
        <v>5091</v>
      </c>
      <c r="BY70" s="95">
        <f t="shared" si="998"/>
        <v>4824</v>
      </c>
      <c r="BZ70" s="95">
        <f t="shared" si="998"/>
        <v>4557</v>
      </c>
      <c r="CA70" s="95">
        <f t="shared" si="998"/>
        <v>4290</v>
      </c>
      <c r="CB70" s="95">
        <f t="shared" si="998"/>
        <v>4023</v>
      </c>
      <c r="CC70" s="95">
        <f t="shared" si="998"/>
        <v>3756</v>
      </c>
      <c r="CD70" s="95">
        <f t="shared" si="998"/>
        <v>3489</v>
      </c>
      <c r="CE70" s="95">
        <f t="shared" si="998"/>
        <v>3222</v>
      </c>
      <c r="CF70" s="95">
        <f t="shared" si="998"/>
        <v>2955</v>
      </c>
      <c r="CG70" s="95">
        <f t="shared" si="998"/>
        <v>2688</v>
      </c>
      <c r="CH70" s="95">
        <f t="shared" si="998"/>
        <v>2421</v>
      </c>
      <c r="CI70" s="95">
        <f t="shared" si="998"/>
        <v>2154</v>
      </c>
      <c r="CJ70" s="95">
        <f t="shared" si="998"/>
        <v>1887</v>
      </c>
      <c r="CK70" s="95">
        <f t="shared" si="998"/>
        <v>1620</v>
      </c>
      <c r="CL70" s="95">
        <f t="shared" si="998"/>
        <v>1353</v>
      </c>
      <c r="CM70" s="95">
        <f t="shared" si="998"/>
        <v>1086</v>
      </c>
      <c r="CN70" s="95">
        <f t="shared" si="998"/>
        <v>819</v>
      </c>
      <c r="CO70" s="95">
        <f t="shared" si="998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9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1000"/>
        <v>0</v>
      </c>
      <c r="DB70" s="62">
        <f t="shared" si="1001"/>
        <v>0</v>
      </c>
      <c r="DC70" s="62">
        <f t="shared" si="1002"/>
        <v>0</v>
      </c>
      <c r="DD70" s="102">
        <f t="shared" si="1003"/>
        <v>0</v>
      </c>
      <c r="DE70" s="31">
        <v>0</v>
      </c>
      <c r="DF70" s="31">
        <v>90</v>
      </c>
      <c r="DG70" s="31">
        <v>0</v>
      </c>
      <c r="DH70" s="48">
        <f t="shared" si="1004"/>
        <v>0</v>
      </c>
      <c r="DI70" s="62">
        <v>5625</v>
      </c>
      <c r="DJ70" s="62">
        <v>21132.240000000002</v>
      </c>
      <c r="DK70" s="48">
        <f t="shared" si="1005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6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7"/>
        <v>0</v>
      </c>
      <c r="DV70" s="62">
        <v>0</v>
      </c>
      <c r="DW70" s="62">
        <v>0</v>
      </c>
      <c r="DX70" s="62">
        <f t="shared" si="1008"/>
        <v>0</v>
      </c>
      <c r="DY70" s="62">
        <f t="shared" si="1009"/>
        <v>0</v>
      </c>
      <c r="DZ70" s="48">
        <f t="shared" si="1010"/>
        <v>0</v>
      </c>
      <c r="EA70" s="62">
        <f t="shared" si="1011"/>
        <v>0</v>
      </c>
      <c r="EB70" s="62">
        <f t="shared" si="1012"/>
        <v>0</v>
      </c>
      <c r="EC70" s="48">
        <f t="shared" si="1013"/>
        <v>0</v>
      </c>
      <c r="ED70" s="62">
        <f t="shared" si="1014"/>
        <v>0</v>
      </c>
      <c r="EE70" s="62">
        <f t="shared" si="1015"/>
        <v>0</v>
      </c>
      <c r="EF70" s="48">
        <f t="shared" si="1016"/>
        <v>0</v>
      </c>
      <c r="EG70" s="62">
        <f t="shared" si="1017"/>
        <v>0</v>
      </c>
      <c r="EH70" s="62">
        <f t="shared" si="1018"/>
        <v>0</v>
      </c>
      <c r="EI70" s="48">
        <f t="shared" si="1019"/>
        <v>0</v>
      </c>
      <c r="EJ70" s="62">
        <f t="shared" si="1020"/>
        <v>0</v>
      </c>
      <c r="EK70" s="62">
        <f t="shared" si="1021"/>
        <v>0</v>
      </c>
      <c r="EL70" s="48">
        <f t="shared" si="1022"/>
        <v>0</v>
      </c>
      <c r="EM70" s="62">
        <f t="shared" si="1023"/>
        <v>801</v>
      </c>
      <c r="EN70" s="62">
        <f t="shared" si="1024"/>
        <v>3011.7599999999998</v>
      </c>
      <c r="EO70" s="48">
        <f t="shared" si="1025"/>
        <v>0</v>
      </c>
      <c r="EP70" s="62">
        <f t="shared" si="1026"/>
        <v>0</v>
      </c>
      <c r="EQ70" s="62">
        <f t="shared" si="1026"/>
        <v>0</v>
      </c>
      <c r="ER70" s="62">
        <f t="shared" si="1026"/>
        <v>0</v>
      </c>
      <c r="ES70" s="62">
        <f t="shared" si="1027"/>
        <v>0</v>
      </c>
      <c r="ET70" s="62">
        <f t="shared" si="1027"/>
        <v>0</v>
      </c>
      <c r="EU70" s="62">
        <f t="shared" si="1027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8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 t="shared" si="57"/>
        <v>1</v>
      </c>
      <c r="FS70" s="103" t="b">
        <f t="shared" si="58"/>
        <v>1</v>
      </c>
      <c r="FT70" s="103" t="b">
        <f t="shared" si="59"/>
        <v>1</v>
      </c>
      <c r="FU70" s="103" t="b">
        <f t="shared" si="60"/>
        <v>0</v>
      </c>
      <c r="FV70" s="103" t="b">
        <f t="shared" si="61"/>
        <v>1</v>
      </c>
      <c r="FW70" s="104" t="b">
        <f t="shared" si="66"/>
        <v>0</v>
      </c>
      <c r="FX70" s="120" t="b">
        <f t="shared" si="1029"/>
        <v>1</v>
      </c>
      <c r="FY70" s="104" t="s">
        <v>214</v>
      </c>
      <c r="FZ70" s="104" t="b">
        <f t="shared" si="1030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31"/>
        <v>1</v>
      </c>
      <c r="GI70" s="8" t="b">
        <f t="shared" si="1032"/>
        <v>0</v>
      </c>
    </row>
    <row r="71" spans="1:192" s="31" customFormat="1" ht="60" hidden="1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73"/>
        <v>нет минмакс</v>
      </c>
      <c r="Q71" s="95">
        <v>861</v>
      </c>
      <c r="R71" s="95">
        <f t="shared" si="974"/>
        <v>15627.15</v>
      </c>
      <c r="S71" s="112">
        <v>861</v>
      </c>
      <c r="T71" s="112">
        <v>15627.15</v>
      </c>
      <c r="U71" s="112">
        <f t="shared" si="975"/>
        <v>0</v>
      </c>
      <c r="V71" s="113">
        <f t="shared" si="976"/>
        <v>861</v>
      </c>
      <c r="W71" s="113">
        <f t="shared" si="977"/>
        <v>15627.15</v>
      </c>
      <c r="X71" s="113">
        <f t="shared" si="978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9"/>
        <v>0</v>
      </c>
      <c r="AF71" s="95">
        <f t="shared" si="980"/>
        <v>15627.15</v>
      </c>
      <c r="AG71" s="114">
        <v>0</v>
      </c>
      <c r="AH71" s="95">
        <f t="shared" si="981"/>
        <v>861</v>
      </c>
      <c r="AI71" s="115">
        <f t="shared" si="982"/>
        <v>15627.15</v>
      </c>
      <c r="AJ71" s="95">
        <f t="shared" si="983"/>
        <v>0</v>
      </c>
      <c r="AK71" s="95">
        <f t="shared" si="984"/>
        <v>0</v>
      </c>
      <c r="AL71" s="95">
        <f t="shared" si="985"/>
        <v>0</v>
      </c>
      <c r="AM71" s="95">
        <f t="shared" si="986"/>
        <v>22.25</v>
      </c>
      <c r="AN71" s="95">
        <f t="shared" si="987"/>
        <v>1160.8988764044946</v>
      </c>
      <c r="AO71" s="95" t="str">
        <f t="shared" si="988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9"/>
        <v>0-25 более 24</v>
      </c>
      <c r="AW71" s="117">
        <f t="shared" si="990"/>
        <v>15627.15</v>
      </c>
      <c r="AX71" s="14">
        <f t="shared" si="991"/>
        <v>6</v>
      </c>
      <c r="AY71" s="25">
        <f t="shared" si="992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93"/>
        <v>0</v>
      </c>
      <c r="BG71" s="29">
        <v>0</v>
      </c>
      <c r="BH71" s="29">
        <f t="shared" si="994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95"/>
        <v>22.25</v>
      </c>
      <c r="BR71" s="95">
        <f t="shared" si="996"/>
        <v>861</v>
      </c>
      <c r="BS71" s="95">
        <f t="shared" si="997"/>
        <v>861</v>
      </c>
      <c r="BT71" s="95">
        <f t="shared" si="997"/>
        <v>861</v>
      </c>
      <c r="BU71" s="95">
        <f t="shared" si="997"/>
        <v>861</v>
      </c>
      <c r="BV71" s="95">
        <f t="shared" si="997"/>
        <v>861</v>
      </c>
      <c r="BW71" s="95">
        <f t="shared" si="997"/>
        <v>838.75</v>
      </c>
      <c r="BX71" s="95">
        <f t="shared" si="998"/>
        <v>816.5</v>
      </c>
      <c r="BY71" s="95">
        <f t="shared" si="998"/>
        <v>794.25</v>
      </c>
      <c r="BZ71" s="95">
        <f t="shared" si="998"/>
        <v>772</v>
      </c>
      <c r="CA71" s="95">
        <f t="shared" ref="CA71:CO71" si="1033">BZ71-$BQ71</f>
        <v>749.75</v>
      </c>
      <c r="CB71" s="95">
        <f t="shared" si="1033"/>
        <v>727.5</v>
      </c>
      <c r="CC71" s="95">
        <f t="shared" si="1033"/>
        <v>705.25</v>
      </c>
      <c r="CD71" s="95">
        <f t="shared" si="1033"/>
        <v>683</v>
      </c>
      <c r="CE71" s="95">
        <f t="shared" si="1033"/>
        <v>660.75</v>
      </c>
      <c r="CF71" s="95">
        <f t="shared" si="1033"/>
        <v>638.5</v>
      </c>
      <c r="CG71" s="95">
        <f t="shared" si="1033"/>
        <v>616.25</v>
      </c>
      <c r="CH71" s="95">
        <f t="shared" si="1033"/>
        <v>594</v>
      </c>
      <c r="CI71" s="95">
        <f t="shared" si="1033"/>
        <v>571.75</v>
      </c>
      <c r="CJ71" s="95">
        <f t="shared" si="1033"/>
        <v>549.5</v>
      </c>
      <c r="CK71" s="95">
        <f t="shared" si="1033"/>
        <v>527.25</v>
      </c>
      <c r="CL71" s="95">
        <f t="shared" si="1033"/>
        <v>505</v>
      </c>
      <c r="CM71" s="95">
        <f t="shared" si="1033"/>
        <v>482.75</v>
      </c>
      <c r="CN71" s="95">
        <f t="shared" si="1033"/>
        <v>460.5</v>
      </c>
      <c r="CO71" s="95">
        <f t="shared" si="1033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9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1000"/>
        <v>0</v>
      </c>
      <c r="DB71" s="62">
        <f t="shared" si="1001"/>
        <v>0</v>
      </c>
      <c r="DC71" s="62">
        <f t="shared" si="1002"/>
        <v>0</v>
      </c>
      <c r="DD71" s="102">
        <f t="shared" si="1003"/>
        <v>0</v>
      </c>
      <c r="DE71" s="31">
        <v>0</v>
      </c>
      <c r="DF71" s="31">
        <v>90</v>
      </c>
      <c r="DG71" s="31">
        <v>0</v>
      </c>
      <c r="DH71" s="48">
        <f t="shared" si="1004"/>
        <v>0</v>
      </c>
      <c r="DI71" s="62">
        <v>861</v>
      </c>
      <c r="DJ71" s="62">
        <v>15625.14</v>
      </c>
      <c r="DK71" s="48">
        <f t="shared" si="1005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6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7"/>
        <v>0</v>
      </c>
      <c r="DV71" s="62">
        <v>0</v>
      </c>
      <c r="DW71" s="62">
        <v>0</v>
      </c>
      <c r="DX71" s="62">
        <f t="shared" si="1008"/>
        <v>0</v>
      </c>
      <c r="DY71" s="62">
        <f t="shared" si="1009"/>
        <v>0</v>
      </c>
      <c r="DZ71" s="48">
        <f t="shared" si="1010"/>
        <v>0</v>
      </c>
      <c r="EA71" s="62">
        <f t="shared" si="1011"/>
        <v>0</v>
      </c>
      <c r="EB71" s="62">
        <f t="shared" si="1012"/>
        <v>0</v>
      </c>
      <c r="EC71" s="48">
        <f t="shared" si="1013"/>
        <v>0</v>
      </c>
      <c r="ED71" s="62">
        <f t="shared" si="1014"/>
        <v>0</v>
      </c>
      <c r="EE71" s="62">
        <f t="shared" si="1015"/>
        <v>0</v>
      </c>
      <c r="EF71" s="48">
        <f t="shared" si="1016"/>
        <v>0</v>
      </c>
      <c r="EG71" s="62">
        <f t="shared" si="1017"/>
        <v>0</v>
      </c>
      <c r="EH71" s="62">
        <f t="shared" si="1018"/>
        <v>0</v>
      </c>
      <c r="EI71" s="48">
        <f t="shared" si="1019"/>
        <v>0</v>
      </c>
      <c r="EJ71" s="62">
        <f t="shared" si="1020"/>
        <v>0</v>
      </c>
      <c r="EK71" s="62">
        <f t="shared" si="1021"/>
        <v>0</v>
      </c>
      <c r="EL71" s="48">
        <f t="shared" si="1022"/>
        <v>0</v>
      </c>
      <c r="EM71" s="62">
        <f t="shared" si="1023"/>
        <v>66.75</v>
      </c>
      <c r="EN71" s="62">
        <f t="shared" si="1024"/>
        <v>1211.5124999999998</v>
      </c>
      <c r="EO71" s="48">
        <f t="shared" si="1025"/>
        <v>0</v>
      </c>
      <c r="EP71" s="62">
        <f t="shared" si="1026"/>
        <v>0</v>
      </c>
      <c r="EQ71" s="62">
        <f t="shared" si="1026"/>
        <v>0</v>
      </c>
      <c r="ER71" s="62">
        <f t="shared" si="1026"/>
        <v>0</v>
      </c>
      <c r="ES71" s="62">
        <f t="shared" si="1027"/>
        <v>0</v>
      </c>
      <c r="ET71" s="62">
        <f t="shared" si="1027"/>
        <v>0</v>
      </c>
      <c r="EU71" s="62">
        <f t="shared" si="1027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8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 t="shared" ref="FR71:FR134" si="1034">EXACT(FK71,BA71)</f>
        <v>1</v>
      </c>
      <c r="FS71" s="103" t="b">
        <f t="shared" ref="FS71:FS134" si="1035">EXACT(FL71,BB71)</f>
        <v>1</v>
      </c>
      <c r="FT71" s="103" t="b">
        <f t="shared" ref="FT71:FT134" si="1036">EXACT(FM71,BC71)</f>
        <v>1</v>
      </c>
      <c r="FU71" s="103" t="b">
        <f t="shared" ref="FU71:FU134" si="1037">EXACT(FN71,BD71)</f>
        <v>0</v>
      </c>
      <c r="FV71" s="103" t="b">
        <f t="shared" ref="FV71:FV134" si="1038">EXACT(FO71,BE71)</f>
        <v>1</v>
      </c>
      <c r="FW71" s="104" t="b">
        <f t="shared" si="66"/>
        <v>0</v>
      </c>
      <c r="FX71" s="120" t="b">
        <f t="shared" si="1029"/>
        <v>1</v>
      </c>
      <c r="FY71" s="104" t="s">
        <v>214</v>
      </c>
      <c r="FZ71" s="104" t="b">
        <f t="shared" si="1030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31"/>
        <v>1</v>
      </c>
      <c r="GI71" s="8" t="b">
        <f t="shared" si="1032"/>
        <v>0</v>
      </c>
    </row>
    <row r="72" spans="1:192" s="31" customFormat="1" hidden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39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40">Q72*FH72</f>
        <v>205747.19999999998</v>
      </c>
      <c r="S72" s="94">
        <v>1248</v>
      </c>
      <c r="T72" s="94">
        <v>216403.20000000001</v>
      </c>
      <c r="U72" s="94">
        <f t="shared" ref="U72:U75" si="1041">IFERROR(ROUNDUP(S72/$EX72,0)*$EY72,0)</f>
        <v>3</v>
      </c>
      <c r="V72" s="94">
        <f t="shared" ref="V72:V75" si="1042">SUM(Z72:AD72)</f>
        <v>1200</v>
      </c>
      <c r="W72" s="94">
        <f t="shared" ref="W72:W75" si="1043">V72*FH72</f>
        <v>203040</v>
      </c>
      <c r="X72" s="94">
        <f t="shared" ref="X72:X75" si="1044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45">AA72*FH72</f>
        <v>0</v>
      </c>
      <c r="AF72" s="95">
        <f t="shared" ref="AF72:AF75" si="1046">AB72*FH72</f>
        <v>173260.79999999999</v>
      </c>
      <c r="AG72" s="96">
        <v>3032</v>
      </c>
      <c r="AH72" s="95">
        <f t="shared" ref="AH72:AH75" si="1047">V72-AG72</f>
        <v>-1832</v>
      </c>
      <c r="AI72" s="94">
        <f t="shared" ref="AI72:AI75" si="1048">IF(AH72&gt;0,AH72*FH72,0)</f>
        <v>0</v>
      </c>
      <c r="AJ72" s="94">
        <f t="shared" ref="AJ72:AJ75" si="1049">CU72</f>
        <v>16</v>
      </c>
      <c r="AK72" s="94">
        <f t="shared" ref="AK72:AK75" si="1050">SUM(CS72:CU72)</f>
        <v>2684</v>
      </c>
      <c r="AL72" s="94">
        <f t="shared" ref="AL72:AL75" si="1051">SUM(CP72:CU72)</f>
        <v>7460</v>
      </c>
      <c r="AM72" s="94">
        <f t="shared" ref="AM72:AM75" si="1052">SUM(BK72:BP72)</f>
        <v>10800</v>
      </c>
      <c r="AN72" s="94">
        <f t="shared" ref="AN72:AN75" si="1053">IFERROR(S72/BQ72*30,"нет оборота")</f>
        <v>20.8</v>
      </c>
      <c r="AO72" s="94" t="str">
        <f t="shared" ref="AO72:AO75" si="1054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55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56">IF(AT72="Да",W72,0)</f>
        <v>0</v>
      </c>
      <c r="AX72" s="93"/>
      <c r="AY72" s="94">
        <f t="shared" ref="AY72:AY75" si="1057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58">BE72*FH72</f>
        <v>0</v>
      </c>
      <c r="BG72" s="29">
        <v>0</v>
      </c>
      <c r="BH72" s="29">
        <f t="shared" ref="BH72:BH75" si="1059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60">IF(COUNTIF(BK72:BP72,"&gt;0")=0,0,SUM(BK72:BP72)/COUNTIF(BK72:BP72,"&gt;0"))</f>
        <v>1800</v>
      </c>
      <c r="BR72" s="95">
        <f t="shared" ref="BR72:BR75" si="1061">IF(OR(Q72=0,SUM(BK72:BP72)=0,V72&gt;Q72),V72-BK72,Q72-BK72)</f>
        <v>-584</v>
      </c>
      <c r="BS72" s="95">
        <f t="shared" ref="BS72:BW75" si="1062">BR72-BL72</f>
        <v>-2384</v>
      </c>
      <c r="BT72" s="95">
        <f t="shared" si="1062"/>
        <v>-4184</v>
      </c>
      <c r="BU72" s="95">
        <f t="shared" si="1062"/>
        <v>-5984</v>
      </c>
      <c r="BV72" s="95">
        <f t="shared" si="1062"/>
        <v>-7784</v>
      </c>
      <c r="BW72" s="95">
        <f t="shared" si="1062"/>
        <v>-9584</v>
      </c>
      <c r="BX72" s="95">
        <f t="shared" ref="BX72:CO75" si="1063">BW72-$BQ72</f>
        <v>-11384</v>
      </c>
      <c r="BY72" s="95">
        <f t="shared" si="1063"/>
        <v>-13184</v>
      </c>
      <c r="BZ72" s="95">
        <f t="shared" si="1063"/>
        <v>-14984</v>
      </c>
      <c r="CA72" s="95">
        <f t="shared" si="1063"/>
        <v>-16784</v>
      </c>
      <c r="CB72" s="95">
        <f t="shared" si="1063"/>
        <v>-18584</v>
      </c>
      <c r="CC72" s="95">
        <f t="shared" si="1063"/>
        <v>-20384</v>
      </c>
      <c r="CD72" s="95">
        <f t="shared" si="1063"/>
        <v>-22184</v>
      </c>
      <c r="CE72" s="95">
        <f t="shared" si="1063"/>
        <v>-23984</v>
      </c>
      <c r="CF72" s="95">
        <f t="shared" si="1063"/>
        <v>-25784</v>
      </c>
      <c r="CG72" s="95">
        <f t="shared" si="1063"/>
        <v>-27584</v>
      </c>
      <c r="CH72" s="95">
        <f t="shared" si="1063"/>
        <v>-29384</v>
      </c>
      <c r="CI72" s="95">
        <f t="shared" si="1063"/>
        <v>-31184</v>
      </c>
      <c r="CJ72" s="95">
        <f t="shared" si="1063"/>
        <v>-32984</v>
      </c>
      <c r="CK72" s="95">
        <f t="shared" si="1063"/>
        <v>-34784</v>
      </c>
      <c r="CL72" s="95">
        <f t="shared" si="1063"/>
        <v>-36584</v>
      </c>
      <c r="CM72" s="95">
        <f t="shared" si="1063"/>
        <v>-38384</v>
      </c>
      <c r="CN72" s="95">
        <f t="shared" si="1063"/>
        <v>-40184</v>
      </c>
      <c r="CO72" s="95">
        <f t="shared" si="1063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64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65">IFERROR(CZ72/CY72,0)</f>
        <v>0.72</v>
      </c>
      <c r="DB72" s="62">
        <f t="shared" ref="DB72:DB75" si="1066">CY72*FH72</f>
        <v>609120</v>
      </c>
      <c r="DC72" s="62">
        <f t="shared" ref="DC72:DC75" si="1067">CZ72*FH72</f>
        <v>438566.39999999997</v>
      </c>
      <c r="DD72" s="102">
        <f t="shared" ref="DD72:DD75" si="1068">IFERROR(DC72/DB72,0)</f>
        <v>0.72</v>
      </c>
      <c r="DE72" s="31">
        <v>0</v>
      </c>
      <c r="DG72" s="31">
        <v>0</v>
      </c>
      <c r="DH72" s="48">
        <f t="shared" ref="DH72:DH75" si="1069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70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71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72">IFERROR(ROUNDUP(DS72/$EX72,0)*$EY72,0)</f>
        <v>7</v>
      </c>
      <c r="DV72" s="62">
        <v>2592</v>
      </c>
      <c r="DW72" s="62">
        <v>452882.07287842128</v>
      </c>
      <c r="DX72" s="62">
        <f t="shared" ref="DX72:DX75" si="1073">$DF72*BK72/30</f>
        <v>0</v>
      </c>
      <c r="DY72" s="62">
        <f t="shared" ref="DY72:DY75" si="1074">DX72*$FH72</f>
        <v>0</v>
      </c>
      <c r="DZ72" s="48">
        <f t="shared" ref="DZ72:DZ75" si="1075">IFERROR(ROUNDUP(DX72/$EX72,0)*$EY72,0)</f>
        <v>0</v>
      </c>
      <c r="EA72" s="62">
        <f t="shared" ref="EA72:EA75" si="1076">$DF72*BL72/30</f>
        <v>0</v>
      </c>
      <c r="EB72" s="62">
        <f t="shared" ref="EB72:EB75" si="1077">EA72*$FH72</f>
        <v>0</v>
      </c>
      <c r="EC72" s="48">
        <f t="shared" ref="EC72:EC75" si="1078">IFERROR(ROUNDUP(EA72/$EX72,0)*$EY72,0)</f>
        <v>0</v>
      </c>
      <c r="ED72" s="62">
        <f t="shared" ref="ED72:ED75" si="1079">$DF72*BM72/30</f>
        <v>0</v>
      </c>
      <c r="EE72" s="62">
        <f t="shared" ref="EE72:EE75" si="1080">ED72*$FH72</f>
        <v>0</v>
      </c>
      <c r="EF72" s="48">
        <f t="shared" ref="EF72:EF75" si="1081">IFERROR(ROUNDUP(ED72/$EX72,0)*$EY72,0)</f>
        <v>0</v>
      </c>
      <c r="EG72" s="62">
        <f t="shared" ref="EG72:EG75" si="1082">$DF72*BN72/30</f>
        <v>0</v>
      </c>
      <c r="EH72" s="62">
        <f t="shared" ref="EH72:EH75" si="1083">EG72*$FH72</f>
        <v>0</v>
      </c>
      <c r="EI72" s="48">
        <f t="shared" ref="EI72:EI75" si="1084">IFERROR(ROUNDUP(EG72/$EX72,0)*$EY72,0)</f>
        <v>0</v>
      </c>
      <c r="EJ72" s="62">
        <f t="shared" ref="EJ72:EJ75" si="1085">$DF72*BO72/30</f>
        <v>0</v>
      </c>
      <c r="EK72" s="62">
        <f t="shared" ref="EK72:EK75" si="1086">EJ72*$FH72</f>
        <v>0</v>
      </c>
      <c r="EL72" s="48">
        <f t="shared" ref="EL72:EL75" si="1087">IFERROR(ROUNDUP(EJ72/$EX72,0)*$EY72,0)</f>
        <v>0</v>
      </c>
      <c r="EM72" s="62">
        <f t="shared" ref="EM72:EM75" si="1088">$DF72*BP72/30</f>
        <v>0</v>
      </c>
      <c r="EN72" s="62">
        <f t="shared" ref="EN72:EN75" si="1089">EM72*$FH72</f>
        <v>0</v>
      </c>
      <c r="EO72" s="48">
        <f t="shared" ref="EO72:EO75" si="1090">IFERROR(ROUNDUP(EM72/$EX72,0)*$EY72,0)</f>
        <v>0</v>
      </c>
      <c r="EP72" s="62">
        <f t="shared" ref="EP72:ER75" si="1091">BK72*$FH72</f>
        <v>304560</v>
      </c>
      <c r="EQ72" s="62">
        <f t="shared" si="1091"/>
        <v>304560</v>
      </c>
      <c r="ER72" s="62">
        <f t="shared" si="1091"/>
        <v>304560</v>
      </c>
      <c r="ES72" s="62">
        <f t="shared" ref="ES72:EU75" si="1092">BN72*$FH72</f>
        <v>304560</v>
      </c>
      <c r="ET72" s="62">
        <f t="shared" si="1092"/>
        <v>304560</v>
      </c>
      <c r="EU72" s="62">
        <f t="shared" si="1092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93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 t="shared" si="1034"/>
        <v>1</v>
      </c>
      <c r="FS72" s="104" t="b">
        <f t="shared" si="1035"/>
        <v>1</v>
      </c>
      <c r="FT72" s="104" t="b">
        <f t="shared" si="1036"/>
        <v>1</v>
      </c>
      <c r="FU72" s="104" t="b">
        <f t="shared" si="1037"/>
        <v>0</v>
      </c>
      <c r="FV72" s="104" t="b">
        <f t="shared" si="1038"/>
        <v>1</v>
      </c>
      <c r="FW72" s="104" t="b">
        <f t="shared" ref="FW72:FW135" si="1094">EXACT(FP72,BG72)</f>
        <v>0</v>
      </c>
      <c r="FX72" s="104" t="b">
        <f t="shared" ref="FX72:FX75" si="1095">EXACT(FQ72,BI72)</f>
        <v>1</v>
      </c>
      <c r="FY72" s="104" t="s">
        <v>214</v>
      </c>
      <c r="FZ72" s="104" t="b">
        <f t="shared" ref="FZ72:FZ75" si="1096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97">EXACT(GD72,C72)</f>
        <v>1</v>
      </c>
      <c r="GI72" s="108" t="b">
        <f t="shared" ref="GI72:GI75" si="1098">EXACT(GG72,G72)</f>
        <v>0</v>
      </c>
    </row>
    <row r="73" spans="1:192" s="31" customFormat="1" hidden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39"/>
        <v>нет минмакс</v>
      </c>
      <c r="Q73" s="95">
        <v>1843</v>
      </c>
      <c r="R73" s="95">
        <f t="shared" si="1040"/>
        <v>11113.29</v>
      </c>
      <c r="S73" s="112">
        <v>1843</v>
      </c>
      <c r="T73" s="112">
        <v>11113.29</v>
      </c>
      <c r="U73" s="112">
        <f t="shared" si="1041"/>
        <v>0</v>
      </c>
      <c r="V73" s="113">
        <f t="shared" si="1042"/>
        <v>1843</v>
      </c>
      <c r="W73" s="113">
        <f t="shared" si="1043"/>
        <v>11113.29</v>
      </c>
      <c r="X73" s="113">
        <f t="shared" si="1044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45"/>
        <v>0</v>
      </c>
      <c r="AF73" s="95">
        <f t="shared" si="1046"/>
        <v>0</v>
      </c>
      <c r="AG73" s="114">
        <v>0</v>
      </c>
      <c r="AH73" s="95">
        <f t="shared" si="1047"/>
        <v>1843</v>
      </c>
      <c r="AI73" s="115">
        <f t="shared" si="1048"/>
        <v>11113.29</v>
      </c>
      <c r="AJ73" s="95">
        <f t="shared" si="1049"/>
        <v>0</v>
      </c>
      <c r="AK73" s="95">
        <f t="shared" si="1050"/>
        <v>0</v>
      </c>
      <c r="AL73" s="95">
        <f t="shared" si="1051"/>
        <v>6426</v>
      </c>
      <c r="AM73" s="95">
        <f t="shared" si="1052"/>
        <v>12600</v>
      </c>
      <c r="AN73" s="95">
        <f t="shared" si="1053"/>
        <v>13.164285714285715</v>
      </c>
      <c r="AO73" s="95" t="str">
        <f t="shared" si="1054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55"/>
        <v>0-01</v>
      </c>
      <c r="AW73" s="117">
        <f t="shared" si="1056"/>
        <v>0</v>
      </c>
      <c r="AX73" s="118"/>
      <c r="AY73" s="25">
        <f t="shared" si="1057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58"/>
        <v>0</v>
      </c>
      <c r="BG73" s="29">
        <v>0</v>
      </c>
      <c r="BH73" s="29">
        <f t="shared" si="1059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60"/>
        <v>4200</v>
      </c>
      <c r="BR73" s="95">
        <f t="shared" si="1061"/>
        <v>-3557</v>
      </c>
      <c r="BS73" s="95">
        <f t="shared" si="1062"/>
        <v>-3557</v>
      </c>
      <c r="BT73" s="95">
        <f t="shared" si="1062"/>
        <v>-3557</v>
      </c>
      <c r="BU73" s="95">
        <f t="shared" si="1062"/>
        <v>-8957</v>
      </c>
      <c r="BV73" s="95">
        <f t="shared" si="1062"/>
        <v>-8957</v>
      </c>
      <c r="BW73" s="95">
        <f t="shared" si="1062"/>
        <v>-10757</v>
      </c>
      <c r="BX73" s="95">
        <f t="shared" si="1063"/>
        <v>-14957</v>
      </c>
      <c r="BY73" s="95">
        <f t="shared" si="1063"/>
        <v>-19157</v>
      </c>
      <c r="BZ73" s="95">
        <f t="shared" si="1063"/>
        <v>-23357</v>
      </c>
      <c r="CA73" s="95">
        <f t="shared" si="1063"/>
        <v>-27557</v>
      </c>
      <c r="CB73" s="95">
        <f t="shared" si="1063"/>
        <v>-31757</v>
      </c>
      <c r="CC73" s="95">
        <f t="shared" si="1063"/>
        <v>-35957</v>
      </c>
      <c r="CD73" s="95">
        <f t="shared" si="1063"/>
        <v>-40157</v>
      </c>
      <c r="CE73" s="95">
        <f t="shared" si="1063"/>
        <v>-44357</v>
      </c>
      <c r="CF73" s="95">
        <f t="shared" si="1063"/>
        <v>-48557</v>
      </c>
      <c r="CG73" s="95">
        <f t="shared" si="1063"/>
        <v>-52757</v>
      </c>
      <c r="CH73" s="95">
        <f t="shared" si="1063"/>
        <v>-56957</v>
      </c>
      <c r="CI73" s="95">
        <f t="shared" si="1063"/>
        <v>-61157</v>
      </c>
      <c r="CJ73" s="95">
        <f t="shared" si="1063"/>
        <v>-65357</v>
      </c>
      <c r="CK73" s="95">
        <f t="shared" si="1063"/>
        <v>-69557</v>
      </c>
      <c r="CL73" s="95">
        <f t="shared" si="1063"/>
        <v>-73757</v>
      </c>
      <c r="CM73" s="95">
        <f t="shared" si="1063"/>
        <v>-77957</v>
      </c>
      <c r="CN73" s="95">
        <f t="shared" si="1063"/>
        <v>-82157</v>
      </c>
      <c r="CO73" s="95">
        <f t="shared" si="1063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64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65"/>
        <v>0</v>
      </c>
      <c r="DB73" s="62">
        <f t="shared" si="1066"/>
        <v>0</v>
      </c>
      <c r="DC73" s="62">
        <f t="shared" si="1067"/>
        <v>0</v>
      </c>
      <c r="DD73" s="102">
        <f t="shared" si="1068"/>
        <v>0</v>
      </c>
      <c r="DE73" s="31">
        <v>0</v>
      </c>
      <c r="DF73" s="31">
        <v>90</v>
      </c>
      <c r="DG73" s="31">
        <v>0</v>
      </c>
      <c r="DH73" s="48">
        <f t="shared" si="1069"/>
        <v>0</v>
      </c>
      <c r="DI73" s="62">
        <v>6674.8710000000001</v>
      </c>
      <c r="DJ73" s="62">
        <v>40235.324999999997</v>
      </c>
      <c r="DK73" s="48">
        <f t="shared" si="1070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71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72"/>
        <v>0</v>
      </c>
      <c r="DV73" s="62">
        <v>0</v>
      </c>
      <c r="DW73" s="62">
        <v>0</v>
      </c>
      <c r="DX73" s="62">
        <f t="shared" si="1073"/>
        <v>16200</v>
      </c>
      <c r="DY73" s="62">
        <f t="shared" si="1074"/>
        <v>97686</v>
      </c>
      <c r="DZ73" s="48">
        <f t="shared" si="1075"/>
        <v>0</v>
      </c>
      <c r="EA73" s="62">
        <f t="shared" si="1076"/>
        <v>0</v>
      </c>
      <c r="EB73" s="62">
        <f t="shared" si="1077"/>
        <v>0</v>
      </c>
      <c r="EC73" s="48">
        <f t="shared" si="1078"/>
        <v>0</v>
      </c>
      <c r="ED73" s="62">
        <f t="shared" si="1079"/>
        <v>0</v>
      </c>
      <c r="EE73" s="62">
        <f t="shared" si="1080"/>
        <v>0</v>
      </c>
      <c r="EF73" s="48">
        <f t="shared" si="1081"/>
        <v>0</v>
      </c>
      <c r="EG73" s="62">
        <f t="shared" si="1082"/>
        <v>16200</v>
      </c>
      <c r="EH73" s="62">
        <f t="shared" si="1083"/>
        <v>97686</v>
      </c>
      <c r="EI73" s="48">
        <f t="shared" si="1084"/>
        <v>0</v>
      </c>
      <c r="EJ73" s="62">
        <f t="shared" si="1085"/>
        <v>0</v>
      </c>
      <c r="EK73" s="62">
        <f t="shared" si="1086"/>
        <v>0</v>
      </c>
      <c r="EL73" s="48">
        <f t="shared" si="1087"/>
        <v>0</v>
      </c>
      <c r="EM73" s="62">
        <f t="shared" si="1088"/>
        <v>5400</v>
      </c>
      <c r="EN73" s="62">
        <f t="shared" si="1089"/>
        <v>32562</v>
      </c>
      <c r="EO73" s="48">
        <f t="shared" si="1090"/>
        <v>0</v>
      </c>
      <c r="EP73" s="62">
        <f t="shared" si="1091"/>
        <v>32562</v>
      </c>
      <c r="EQ73" s="62">
        <f t="shared" si="1091"/>
        <v>0</v>
      </c>
      <c r="ER73" s="62">
        <f t="shared" si="1091"/>
        <v>0</v>
      </c>
      <c r="ES73" s="62">
        <f t="shared" si="1092"/>
        <v>32562</v>
      </c>
      <c r="ET73" s="62">
        <f t="shared" si="1092"/>
        <v>0</v>
      </c>
      <c r="EU73" s="62">
        <f t="shared" si="1092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93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 t="shared" si="1034"/>
        <v>1</v>
      </c>
      <c r="FS73" s="103" t="b">
        <f t="shared" si="1035"/>
        <v>0</v>
      </c>
      <c r="FT73" s="103" t="b">
        <f t="shared" si="1036"/>
        <v>1</v>
      </c>
      <c r="FU73" s="103" t="b">
        <f t="shared" si="1037"/>
        <v>0</v>
      </c>
      <c r="FV73" s="103" t="b">
        <f t="shared" si="1038"/>
        <v>1</v>
      </c>
      <c r="FW73" s="104" t="b">
        <f t="shared" si="1094"/>
        <v>0</v>
      </c>
      <c r="FX73" s="120" t="b">
        <f t="shared" si="1095"/>
        <v>1</v>
      </c>
      <c r="FY73" s="104" t="s">
        <v>214</v>
      </c>
      <c r="FZ73" s="104" t="b">
        <f t="shared" si="1096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97"/>
        <v>1</v>
      </c>
      <c r="GI73" s="8" t="b">
        <f t="shared" si="1098"/>
        <v>0</v>
      </c>
    </row>
    <row r="74" spans="1:192" s="31" customFormat="1" hidden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39"/>
        <v>нет минмакс</v>
      </c>
      <c r="Q74" s="95">
        <v>1793</v>
      </c>
      <c r="R74" s="95">
        <f t="shared" si="1040"/>
        <v>10811.79</v>
      </c>
      <c r="S74" s="112">
        <v>1793</v>
      </c>
      <c r="T74" s="112">
        <v>10811.79</v>
      </c>
      <c r="U74" s="112">
        <f t="shared" si="1041"/>
        <v>0</v>
      </c>
      <c r="V74" s="113">
        <f t="shared" si="1042"/>
        <v>1793</v>
      </c>
      <c r="W74" s="113">
        <f t="shared" si="1043"/>
        <v>10811.79</v>
      </c>
      <c r="X74" s="113">
        <f t="shared" si="1044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45"/>
        <v>0</v>
      </c>
      <c r="AF74" s="95">
        <f t="shared" si="1046"/>
        <v>0</v>
      </c>
      <c r="AG74" s="114">
        <v>0</v>
      </c>
      <c r="AH74" s="95">
        <f t="shared" si="1047"/>
        <v>1793</v>
      </c>
      <c r="AI74" s="115">
        <f t="shared" si="1048"/>
        <v>10811.79</v>
      </c>
      <c r="AJ74" s="95">
        <f t="shared" si="1049"/>
        <v>0</v>
      </c>
      <c r="AK74" s="95">
        <f t="shared" si="1050"/>
        <v>0</v>
      </c>
      <c r="AL74" s="95">
        <f t="shared" si="1051"/>
        <v>6479</v>
      </c>
      <c r="AM74" s="95">
        <f t="shared" si="1052"/>
        <v>12600</v>
      </c>
      <c r="AN74" s="95">
        <f t="shared" si="1053"/>
        <v>12.807142857142857</v>
      </c>
      <c r="AO74" s="95" t="str">
        <f t="shared" si="1054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55"/>
        <v>0-01</v>
      </c>
      <c r="AW74" s="117">
        <f t="shared" si="1056"/>
        <v>0</v>
      </c>
      <c r="AX74" s="118"/>
      <c r="AY74" s="25">
        <f t="shared" si="1057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58"/>
        <v>0</v>
      </c>
      <c r="BG74" s="29">
        <v>0</v>
      </c>
      <c r="BH74" s="29">
        <f t="shared" si="1059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60"/>
        <v>4200</v>
      </c>
      <c r="BR74" s="95">
        <f t="shared" si="1061"/>
        <v>-3607</v>
      </c>
      <c r="BS74" s="95">
        <f t="shared" si="1062"/>
        <v>-3607</v>
      </c>
      <c r="BT74" s="95">
        <f t="shared" si="1062"/>
        <v>-3607</v>
      </c>
      <c r="BU74" s="95">
        <f t="shared" si="1062"/>
        <v>-9007</v>
      </c>
      <c r="BV74" s="95">
        <f t="shared" si="1062"/>
        <v>-9007</v>
      </c>
      <c r="BW74" s="95">
        <f t="shared" si="1062"/>
        <v>-10807</v>
      </c>
      <c r="BX74" s="95">
        <f t="shared" si="1063"/>
        <v>-15007</v>
      </c>
      <c r="BY74" s="95">
        <f t="shared" si="1063"/>
        <v>-19207</v>
      </c>
      <c r="BZ74" s="95">
        <f t="shared" si="1063"/>
        <v>-23407</v>
      </c>
      <c r="CA74" s="95">
        <f t="shared" si="1063"/>
        <v>-27607</v>
      </c>
      <c r="CB74" s="95">
        <f t="shared" si="1063"/>
        <v>-31807</v>
      </c>
      <c r="CC74" s="95">
        <f t="shared" si="1063"/>
        <v>-36007</v>
      </c>
      <c r="CD74" s="95">
        <f t="shared" si="1063"/>
        <v>-40207</v>
      </c>
      <c r="CE74" s="95">
        <f t="shared" si="1063"/>
        <v>-44407</v>
      </c>
      <c r="CF74" s="95">
        <f t="shared" si="1063"/>
        <v>-48607</v>
      </c>
      <c r="CG74" s="95">
        <f t="shared" si="1063"/>
        <v>-52807</v>
      </c>
      <c r="CH74" s="95">
        <f t="shared" si="1063"/>
        <v>-57007</v>
      </c>
      <c r="CI74" s="95">
        <f t="shared" si="1063"/>
        <v>-61207</v>
      </c>
      <c r="CJ74" s="95">
        <f t="shared" si="1063"/>
        <v>-65407</v>
      </c>
      <c r="CK74" s="95">
        <f t="shared" si="1063"/>
        <v>-69607</v>
      </c>
      <c r="CL74" s="95">
        <f t="shared" si="1063"/>
        <v>-73807</v>
      </c>
      <c r="CM74" s="95">
        <f t="shared" si="1063"/>
        <v>-78007</v>
      </c>
      <c r="CN74" s="95">
        <f t="shared" si="1063"/>
        <v>-82207</v>
      </c>
      <c r="CO74" s="95">
        <f t="shared" si="1063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64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65"/>
        <v>0</v>
      </c>
      <c r="DB74" s="62">
        <f t="shared" si="1066"/>
        <v>0</v>
      </c>
      <c r="DC74" s="62">
        <f t="shared" si="1067"/>
        <v>0</v>
      </c>
      <c r="DD74" s="102">
        <f t="shared" si="1068"/>
        <v>0</v>
      </c>
      <c r="DE74" s="31">
        <v>0</v>
      </c>
      <c r="DF74" s="31">
        <v>90</v>
      </c>
      <c r="DG74" s="31">
        <v>0</v>
      </c>
      <c r="DH74" s="48">
        <f t="shared" si="1069"/>
        <v>0</v>
      </c>
      <c r="DI74" s="62">
        <v>6661.7740000000003</v>
      </c>
      <c r="DJ74" s="62">
        <v>40155.042000000001</v>
      </c>
      <c r="DK74" s="48">
        <f t="shared" si="1070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71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72"/>
        <v>0</v>
      </c>
      <c r="DV74" s="62">
        <v>0</v>
      </c>
      <c r="DW74" s="62">
        <v>0</v>
      </c>
      <c r="DX74" s="62">
        <f t="shared" si="1073"/>
        <v>16200</v>
      </c>
      <c r="DY74" s="62">
        <f t="shared" si="1074"/>
        <v>97686</v>
      </c>
      <c r="DZ74" s="48">
        <f t="shared" si="1075"/>
        <v>0</v>
      </c>
      <c r="EA74" s="62">
        <f t="shared" si="1076"/>
        <v>0</v>
      </c>
      <c r="EB74" s="62">
        <f t="shared" si="1077"/>
        <v>0</v>
      </c>
      <c r="EC74" s="48">
        <f t="shared" si="1078"/>
        <v>0</v>
      </c>
      <c r="ED74" s="62">
        <f t="shared" si="1079"/>
        <v>0</v>
      </c>
      <c r="EE74" s="62">
        <f t="shared" si="1080"/>
        <v>0</v>
      </c>
      <c r="EF74" s="48">
        <f t="shared" si="1081"/>
        <v>0</v>
      </c>
      <c r="EG74" s="62">
        <f t="shared" si="1082"/>
        <v>16200</v>
      </c>
      <c r="EH74" s="62">
        <f t="shared" si="1083"/>
        <v>97686</v>
      </c>
      <c r="EI74" s="48">
        <f t="shared" si="1084"/>
        <v>0</v>
      </c>
      <c r="EJ74" s="62">
        <f t="shared" si="1085"/>
        <v>0</v>
      </c>
      <c r="EK74" s="62">
        <f t="shared" si="1086"/>
        <v>0</v>
      </c>
      <c r="EL74" s="48">
        <f t="shared" si="1087"/>
        <v>0</v>
      </c>
      <c r="EM74" s="62">
        <f t="shared" si="1088"/>
        <v>5400</v>
      </c>
      <c r="EN74" s="62">
        <f t="shared" si="1089"/>
        <v>32562</v>
      </c>
      <c r="EO74" s="48">
        <f t="shared" si="1090"/>
        <v>0</v>
      </c>
      <c r="EP74" s="62">
        <f t="shared" si="1091"/>
        <v>32562</v>
      </c>
      <c r="EQ74" s="62">
        <f t="shared" si="1091"/>
        <v>0</v>
      </c>
      <c r="ER74" s="62">
        <f t="shared" si="1091"/>
        <v>0</v>
      </c>
      <c r="ES74" s="62">
        <f t="shared" si="1092"/>
        <v>32562</v>
      </c>
      <c r="ET74" s="62">
        <f t="shared" si="1092"/>
        <v>0</v>
      </c>
      <c r="EU74" s="62">
        <f t="shared" si="1092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93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 t="shared" si="1034"/>
        <v>1</v>
      </c>
      <c r="FS74" s="103" t="b">
        <f t="shared" si="1035"/>
        <v>0</v>
      </c>
      <c r="FT74" s="103" t="b">
        <f t="shared" si="1036"/>
        <v>1</v>
      </c>
      <c r="FU74" s="103" t="b">
        <f t="shared" si="1037"/>
        <v>0</v>
      </c>
      <c r="FV74" s="103" t="b">
        <f t="shared" si="1038"/>
        <v>1</v>
      </c>
      <c r="FW74" s="104" t="b">
        <f t="shared" si="1094"/>
        <v>0</v>
      </c>
      <c r="FX74" s="120" t="b">
        <f t="shared" si="1095"/>
        <v>1</v>
      </c>
      <c r="FY74" s="104" t="s">
        <v>214</v>
      </c>
      <c r="FZ74" s="104" t="b">
        <f t="shared" si="1096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97"/>
        <v>1</v>
      </c>
      <c r="GI74" s="8" t="b">
        <f t="shared" si="1098"/>
        <v>0</v>
      </c>
    </row>
    <row r="75" spans="1:192" s="31" customFormat="1" hidden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39"/>
        <v>нет минмакс</v>
      </c>
      <c r="Q75" s="95">
        <v>555</v>
      </c>
      <c r="R75" s="95">
        <f t="shared" si="1040"/>
        <v>10694.85</v>
      </c>
      <c r="S75" s="112">
        <v>555</v>
      </c>
      <c r="T75" s="112">
        <v>10694.85</v>
      </c>
      <c r="U75" s="112">
        <f t="shared" si="1041"/>
        <v>0</v>
      </c>
      <c r="V75" s="113">
        <f t="shared" si="1042"/>
        <v>555</v>
      </c>
      <c r="W75" s="113">
        <f t="shared" si="1043"/>
        <v>10694.85</v>
      </c>
      <c r="X75" s="113">
        <f t="shared" si="1044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45"/>
        <v>0</v>
      </c>
      <c r="AF75" s="95">
        <f t="shared" si="1046"/>
        <v>0</v>
      </c>
      <c r="AG75" s="114">
        <v>0</v>
      </c>
      <c r="AH75" s="95">
        <f t="shared" si="1047"/>
        <v>555</v>
      </c>
      <c r="AI75" s="115">
        <f t="shared" si="1048"/>
        <v>10694.85</v>
      </c>
      <c r="AJ75" s="95">
        <f t="shared" si="1049"/>
        <v>0</v>
      </c>
      <c r="AK75" s="95">
        <f t="shared" si="1050"/>
        <v>0</v>
      </c>
      <c r="AL75" s="95">
        <f t="shared" si="1051"/>
        <v>468</v>
      </c>
      <c r="AM75" s="95">
        <f t="shared" si="1052"/>
        <v>787.5</v>
      </c>
      <c r="AN75" s="95">
        <f t="shared" si="1053"/>
        <v>63.428571428571431</v>
      </c>
      <c r="AO75" s="95" t="str">
        <f t="shared" si="1054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55"/>
        <v>0-04</v>
      </c>
      <c r="AW75" s="117">
        <f t="shared" si="1056"/>
        <v>0</v>
      </c>
      <c r="AX75" s="118"/>
      <c r="AY75" s="25">
        <f t="shared" si="1057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58"/>
        <v>0</v>
      </c>
      <c r="BG75" s="29">
        <v>0</v>
      </c>
      <c r="BH75" s="29">
        <f t="shared" si="1059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60"/>
        <v>262.5</v>
      </c>
      <c r="BR75" s="95">
        <f t="shared" si="1061"/>
        <v>217.5</v>
      </c>
      <c r="BS75" s="95">
        <f t="shared" si="1062"/>
        <v>217.5</v>
      </c>
      <c r="BT75" s="95">
        <f t="shared" si="1062"/>
        <v>217.5</v>
      </c>
      <c r="BU75" s="95">
        <f t="shared" si="1062"/>
        <v>-120</v>
      </c>
      <c r="BV75" s="95">
        <f t="shared" si="1062"/>
        <v>-120</v>
      </c>
      <c r="BW75" s="95">
        <f t="shared" si="1062"/>
        <v>-232.5</v>
      </c>
      <c r="BX75" s="95">
        <f t="shared" si="1063"/>
        <v>-495</v>
      </c>
      <c r="BY75" s="95">
        <f t="shared" si="1063"/>
        <v>-757.5</v>
      </c>
      <c r="BZ75" s="95">
        <f t="shared" si="1063"/>
        <v>-1020</v>
      </c>
      <c r="CA75" s="95">
        <f t="shared" si="1063"/>
        <v>-1282.5</v>
      </c>
      <c r="CB75" s="95">
        <f t="shared" si="1063"/>
        <v>-1545</v>
      </c>
      <c r="CC75" s="95">
        <f t="shared" si="1063"/>
        <v>-1807.5</v>
      </c>
      <c r="CD75" s="95">
        <f t="shared" si="1063"/>
        <v>-2070</v>
      </c>
      <c r="CE75" s="95">
        <f t="shared" si="1063"/>
        <v>-2332.5</v>
      </c>
      <c r="CF75" s="95">
        <f t="shared" si="1063"/>
        <v>-2595</v>
      </c>
      <c r="CG75" s="95">
        <f t="shared" si="1063"/>
        <v>-2857.5</v>
      </c>
      <c r="CH75" s="95">
        <f t="shared" si="1063"/>
        <v>-3120</v>
      </c>
      <c r="CI75" s="95">
        <f t="shared" si="1063"/>
        <v>-3382.5</v>
      </c>
      <c r="CJ75" s="95">
        <f t="shared" si="1063"/>
        <v>-3645</v>
      </c>
      <c r="CK75" s="95">
        <f t="shared" si="1063"/>
        <v>-3907.5</v>
      </c>
      <c r="CL75" s="95">
        <f t="shared" si="1063"/>
        <v>-4170</v>
      </c>
      <c r="CM75" s="95">
        <f t="shared" si="1063"/>
        <v>-4432.5</v>
      </c>
      <c r="CN75" s="95">
        <f t="shared" si="1063"/>
        <v>-4695</v>
      </c>
      <c r="CO75" s="95">
        <f t="shared" si="1063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64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65"/>
        <v>0</v>
      </c>
      <c r="DB75" s="62">
        <f t="shared" si="1066"/>
        <v>0</v>
      </c>
      <c r="DC75" s="62">
        <f t="shared" si="1067"/>
        <v>0</v>
      </c>
      <c r="DD75" s="102">
        <f t="shared" si="1068"/>
        <v>0</v>
      </c>
      <c r="DE75" s="31">
        <v>0</v>
      </c>
      <c r="DF75" s="31">
        <v>90</v>
      </c>
      <c r="DG75" s="31">
        <v>0</v>
      </c>
      <c r="DH75" s="48">
        <f t="shared" si="1069"/>
        <v>0</v>
      </c>
      <c r="DI75" s="62">
        <v>891.96799999999996</v>
      </c>
      <c r="DJ75" s="62">
        <v>17184.723999999998</v>
      </c>
      <c r="DK75" s="48">
        <f t="shared" si="1070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71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72"/>
        <v>0</v>
      </c>
      <c r="DV75" s="62">
        <v>0</v>
      </c>
      <c r="DW75" s="62">
        <v>0</v>
      </c>
      <c r="DX75" s="62">
        <f t="shared" si="1073"/>
        <v>1012.5</v>
      </c>
      <c r="DY75" s="62">
        <f t="shared" si="1074"/>
        <v>19510.875</v>
      </c>
      <c r="DZ75" s="48">
        <f t="shared" si="1075"/>
        <v>0</v>
      </c>
      <c r="EA75" s="62">
        <f t="shared" si="1076"/>
        <v>0</v>
      </c>
      <c r="EB75" s="62">
        <f t="shared" si="1077"/>
        <v>0</v>
      </c>
      <c r="EC75" s="48">
        <f t="shared" si="1078"/>
        <v>0</v>
      </c>
      <c r="ED75" s="62">
        <f t="shared" si="1079"/>
        <v>0</v>
      </c>
      <c r="EE75" s="62">
        <f t="shared" si="1080"/>
        <v>0</v>
      </c>
      <c r="EF75" s="48">
        <f t="shared" si="1081"/>
        <v>0</v>
      </c>
      <c r="EG75" s="62">
        <f t="shared" si="1082"/>
        <v>1012.5</v>
      </c>
      <c r="EH75" s="62">
        <f t="shared" si="1083"/>
        <v>19510.875</v>
      </c>
      <c r="EI75" s="48">
        <f t="shared" si="1084"/>
        <v>0</v>
      </c>
      <c r="EJ75" s="62">
        <f t="shared" si="1085"/>
        <v>0</v>
      </c>
      <c r="EK75" s="62">
        <f t="shared" si="1086"/>
        <v>0</v>
      </c>
      <c r="EL75" s="48">
        <f t="shared" si="1087"/>
        <v>0</v>
      </c>
      <c r="EM75" s="62">
        <f t="shared" si="1088"/>
        <v>337.5</v>
      </c>
      <c r="EN75" s="62">
        <f t="shared" si="1089"/>
        <v>6503.625</v>
      </c>
      <c r="EO75" s="48">
        <f t="shared" si="1090"/>
        <v>0</v>
      </c>
      <c r="EP75" s="62">
        <f t="shared" si="1091"/>
        <v>6503.625</v>
      </c>
      <c r="EQ75" s="62">
        <f t="shared" si="1091"/>
        <v>0</v>
      </c>
      <c r="ER75" s="62">
        <f t="shared" si="1091"/>
        <v>0</v>
      </c>
      <c r="ES75" s="62">
        <f t="shared" si="1092"/>
        <v>6503.625</v>
      </c>
      <c r="ET75" s="62">
        <f t="shared" si="1092"/>
        <v>0</v>
      </c>
      <c r="EU75" s="62">
        <f t="shared" si="1092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93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 t="shared" si="1034"/>
        <v>1</v>
      </c>
      <c r="FS75" s="103" t="b">
        <f t="shared" si="1035"/>
        <v>0</v>
      </c>
      <c r="FT75" s="103" t="b">
        <f t="shared" si="1036"/>
        <v>1</v>
      </c>
      <c r="FU75" s="103" t="b">
        <f t="shared" si="1037"/>
        <v>0</v>
      </c>
      <c r="FV75" s="103" t="b">
        <f t="shared" si="1038"/>
        <v>1</v>
      </c>
      <c r="FW75" s="104" t="b">
        <f t="shared" si="1094"/>
        <v>0</v>
      </c>
      <c r="FX75" s="120" t="b">
        <f t="shared" si="1095"/>
        <v>1</v>
      </c>
      <c r="FY75" s="104" t="s">
        <v>214</v>
      </c>
      <c r="FZ75" s="104" t="b">
        <f t="shared" si="1096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97"/>
        <v>1</v>
      </c>
      <c r="GI75" s="8" t="b">
        <f t="shared" si="1098"/>
        <v>0</v>
      </c>
    </row>
    <row r="76" spans="1:192" s="31" customFormat="1" hidden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99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100">Q76*FH76</f>
        <v>188422.56000000003</v>
      </c>
      <c r="S76" s="94">
        <v>960</v>
      </c>
      <c r="T76" s="94">
        <v>195513.60000000001</v>
      </c>
      <c r="U76" s="94">
        <f t="shared" ref="U76:U79" si="1101">IFERROR(ROUNDUP(S76/$EX76,0)*$EY76,0)</f>
        <v>2</v>
      </c>
      <c r="V76" s="94">
        <f t="shared" ref="V76:V79" si="1102">SUM(Z76:AD76)</f>
        <v>1032</v>
      </c>
      <c r="W76" s="94">
        <f t="shared" ref="W76:W79" si="1103">V76*FH76</f>
        <v>188422.56000000003</v>
      </c>
      <c r="X76" s="94">
        <f t="shared" ref="X76:X79" si="1104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105">AA76*FH76</f>
        <v>0</v>
      </c>
      <c r="AF76" s="95">
        <f t="shared" ref="AF76:AF79" si="1106">AB76*FH76</f>
        <v>0</v>
      </c>
      <c r="AG76" s="96">
        <v>0</v>
      </c>
      <c r="AH76" s="95">
        <f t="shared" ref="AH76:AH79" si="1107">V76-AG76</f>
        <v>1032</v>
      </c>
      <c r="AI76" s="94">
        <f t="shared" ref="AI76:AI79" si="1108">IF(AH76&gt;0,AH76*FH76,0)</f>
        <v>188422.56000000003</v>
      </c>
      <c r="AJ76" s="94">
        <f t="shared" ref="AJ76:AJ79" si="1109">CU76</f>
        <v>540</v>
      </c>
      <c r="AK76" s="94">
        <f t="shared" ref="AK76:AK79" si="1110">SUM(CS76:CU76)</f>
        <v>1104</v>
      </c>
      <c r="AL76" s="94">
        <f t="shared" ref="AL76:AL79" si="1111">SUM(CP76:CU76)</f>
        <v>2088</v>
      </c>
      <c r="AM76" s="94">
        <f t="shared" ref="AM76:AM79" si="1112">SUM(BK76:BP76)</f>
        <v>8200</v>
      </c>
      <c r="AN76" s="94">
        <f t="shared" ref="AN76:AN79" si="1113">IFERROR(S76/BQ76*30,"нет оборота")</f>
        <v>21.073170731707314</v>
      </c>
      <c r="AO76" s="94" t="str">
        <f t="shared" ref="AO76:AO79" si="1114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15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16">IF(AT76="Да",W76,0)</f>
        <v>0</v>
      </c>
      <c r="AX76" s="93"/>
      <c r="AY76" s="94">
        <f t="shared" ref="AY76:AY79" si="1117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18">BE76*FH76</f>
        <v>0</v>
      </c>
      <c r="BG76" s="29">
        <v>0</v>
      </c>
      <c r="BH76" s="29">
        <f t="shared" ref="BH76:BH79" si="1119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20">IF(COUNTIF(BK76:BP76,"&gt;0")=0,0,SUM(BK76:BP76)/COUNTIF(BK76:BP76,"&gt;0"))</f>
        <v>1366.6666666666667</v>
      </c>
      <c r="BR76" s="95">
        <f t="shared" ref="BR76:BR79" si="1121">IF(OR(Q76=0,SUM(BK76:BP76)=0,V76&gt;Q76),V76-BK76,Q76-BK76)</f>
        <v>-768</v>
      </c>
      <c r="BS76" s="95">
        <f t="shared" ref="BS76:BW79" si="1122">BR76-BL76</f>
        <v>-1268</v>
      </c>
      <c r="BT76" s="95">
        <f t="shared" si="1122"/>
        <v>-1768</v>
      </c>
      <c r="BU76" s="95">
        <f t="shared" si="1122"/>
        <v>-3568</v>
      </c>
      <c r="BV76" s="95">
        <f t="shared" si="1122"/>
        <v>-5368</v>
      </c>
      <c r="BW76" s="95">
        <f t="shared" si="1122"/>
        <v>-7168</v>
      </c>
      <c r="BX76" s="95">
        <f t="shared" ref="BX76:CO79" si="1123">BW76-$BQ76</f>
        <v>-8534.6666666666661</v>
      </c>
      <c r="BY76" s="95">
        <f t="shared" si="1123"/>
        <v>-9901.3333333333321</v>
      </c>
      <c r="BZ76" s="95">
        <f t="shared" si="1123"/>
        <v>-11267.999999999998</v>
      </c>
      <c r="CA76" s="95">
        <f t="shared" si="1123"/>
        <v>-12634.666666666664</v>
      </c>
      <c r="CB76" s="95">
        <f t="shared" si="1123"/>
        <v>-14001.33333333333</v>
      </c>
      <c r="CC76" s="95">
        <f t="shared" si="1123"/>
        <v>-15367.999999999996</v>
      </c>
      <c r="CD76" s="95">
        <f t="shared" si="1123"/>
        <v>-16734.666666666664</v>
      </c>
      <c r="CE76" s="95">
        <f t="shared" si="1123"/>
        <v>-18101.333333333332</v>
      </c>
      <c r="CF76" s="95">
        <f t="shared" si="1123"/>
        <v>-19468</v>
      </c>
      <c r="CG76" s="95">
        <f t="shared" si="1123"/>
        <v>-20834.666666666668</v>
      </c>
      <c r="CH76" s="95">
        <f t="shared" si="1123"/>
        <v>-22201.333333333336</v>
      </c>
      <c r="CI76" s="95">
        <f t="shared" si="1123"/>
        <v>-23568.000000000004</v>
      </c>
      <c r="CJ76" s="95">
        <f t="shared" si="1123"/>
        <v>-24934.666666666672</v>
      </c>
      <c r="CK76" s="95">
        <f t="shared" si="1123"/>
        <v>-26301.333333333339</v>
      </c>
      <c r="CL76" s="95">
        <f t="shared" si="1123"/>
        <v>-27668.000000000007</v>
      </c>
      <c r="CM76" s="95">
        <f t="shared" si="1123"/>
        <v>-29034.666666666675</v>
      </c>
      <c r="CN76" s="95">
        <f t="shared" si="1123"/>
        <v>-30401.333333333343</v>
      </c>
      <c r="CO76" s="95">
        <f t="shared" si="1123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24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25">IFERROR(CZ76/CY76,0)</f>
        <v>0</v>
      </c>
      <c r="DB76" s="62">
        <f t="shared" ref="DB76:DB79" si="1126">CY76*FH76</f>
        <v>328644</v>
      </c>
      <c r="DC76" s="62">
        <f t="shared" ref="DC76:DC79" si="1127">CZ76*FH76</f>
        <v>0</v>
      </c>
      <c r="DD76" s="102">
        <f t="shared" ref="DD76:DD79" si="1128">IFERROR(DC76/DB76,0)</f>
        <v>0</v>
      </c>
      <c r="DE76" s="31">
        <v>0</v>
      </c>
      <c r="DG76" s="31">
        <v>0</v>
      </c>
      <c r="DH76" s="48">
        <f t="shared" ref="DH76:DH79" si="1129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30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31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32">IFERROR(ROUNDUP(DS76/$EX76,0)*$EY76,0)</f>
        <v>2</v>
      </c>
      <c r="DV76" s="62">
        <v>0</v>
      </c>
      <c r="DW76" s="62">
        <v>0</v>
      </c>
      <c r="DX76" s="62">
        <f t="shared" ref="DX76:DX79" si="1133">$DF76*BK76/30</f>
        <v>0</v>
      </c>
      <c r="DY76" s="62">
        <f t="shared" ref="DY76:DY79" si="1134">DX76*$FH76</f>
        <v>0</v>
      </c>
      <c r="DZ76" s="48">
        <f t="shared" ref="DZ76:DZ79" si="1135">IFERROR(ROUNDUP(DX76/$EX76,0)*$EY76,0)</f>
        <v>0</v>
      </c>
      <c r="EA76" s="62">
        <f t="shared" ref="EA76:EA79" si="1136">$DF76*BL76/30</f>
        <v>0</v>
      </c>
      <c r="EB76" s="62">
        <f t="shared" ref="EB76:EB79" si="1137">EA76*$FH76</f>
        <v>0</v>
      </c>
      <c r="EC76" s="48">
        <f t="shared" ref="EC76:EC79" si="1138">IFERROR(ROUNDUP(EA76/$EX76,0)*$EY76,0)</f>
        <v>0</v>
      </c>
      <c r="ED76" s="62">
        <f t="shared" ref="ED76:ED79" si="1139">$DF76*BM76/30</f>
        <v>0</v>
      </c>
      <c r="EE76" s="62">
        <f t="shared" ref="EE76:EE79" si="1140">ED76*$FH76</f>
        <v>0</v>
      </c>
      <c r="EF76" s="48">
        <f t="shared" ref="EF76:EF79" si="1141">IFERROR(ROUNDUP(ED76/$EX76,0)*$EY76,0)</f>
        <v>0</v>
      </c>
      <c r="EG76" s="62">
        <f t="shared" ref="EG76:EG79" si="1142">$DF76*BN76/30</f>
        <v>0</v>
      </c>
      <c r="EH76" s="62">
        <f t="shared" ref="EH76:EH79" si="1143">EG76*$FH76</f>
        <v>0</v>
      </c>
      <c r="EI76" s="48">
        <f t="shared" ref="EI76:EI79" si="1144">IFERROR(ROUNDUP(EG76/$EX76,0)*$EY76,0)</f>
        <v>0</v>
      </c>
      <c r="EJ76" s="62">
        <f t="shared" ref="EJ76:EJ79" si="1145">$DF76*BO76/30</f>
        <v>0</v>
      </c>
      <c r="EK76" s="62">
        <f t="shared" ref="EK76:EK79" si="1146">EJ76*$FH76</f>
        <v>0</v>
      </c>
      <c r="EL76" s="48">
        <f t="shared" ref="EL76:EL79" si="1147">IFERROR(ROUNDUP(EJ76/$EX76,0)*$EY76,0)</f>
        <v>0</v>
      </c>
      <c r="EM76" s="62">
        <f t="shared" ref="EM76:EM79" si="1148">$DF76*BP76/30</f>
        <v>0</v>
      </c>
      <c r="EN76" s="62">
        <f t="shared" ref="EN76:EN79" si="1149">EM76*$FH76</f>
        <v>0</v>
      </c>
      <c r="EO76" s="48">
        <f t="shared" ref="EO76:EO79" si="1150">IFERROR(ROUNDUP(EM76/$EX76,0)*$EY76,0)</f>
        <v>0</v>
      </c>
      <c r="EP76" s="62">
        <f t="shared" ref="EP76:ER79" si="1151">BK76*$FH76</f>
        <v>328644</v>
      </c>
      <c r="EQ76" s="62">
        <f t="shared" si="1151"/>
        <v>91290</v>
      </c>
      <c r="ER76" s="62">
        <f t="shared" si="1151"/>
        <v>91290</v>
      </c>
      <c r="ES76" s="62">
        <f t="shared" ref="ES76:EU79" si="1152">BN76*$FH76</f>
        <v>328644</v>
      </c>
      <c r="ET76" s="62">
        <f t="shared" si="1152"/>
        <v>328644</v>
      </c>
      <c r="EU76" s="62">
        <f t="shared" si="1152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53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 t="shared" si="1034"/>
        <v>1</v>
      </c>
      <c r="FS76" s="104" t="b">
        <f t="shared" si="1035"/>
        <v>1</v>
      </c>
      <c r="FT76" s="104" t="b">
        <f t="shared" si="1036"/>
        <v>1</v>
      </c>
      <c r="FU76" s="104" t="b">
        <f t="shared" si="1037"/>
        <v>0</v>
      </c>
      <c r="FV76" s="104" t="b">
        <f t="shared" si="1038"/>
        <v>1</v>
      </c>
      <c r="FW76" s="104" t="b">
        <f t="shared" si="1094"/>
        <v>0</v>
      </c>
      <c r="FX76" s="104" t="b">
        <f t="shared" ref="FX76:FX79" si="1154">EXACT(FQ76,BI76)</f>
        <v>1</v>
      </c>
      <c r="FY76" s="104" t="s">
        <v>214</v>
      </c>
      <c r="FZ76" s="104" t="b">
        <f t="shared" ref="FZ76:FZ79" si="1155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56">EXACT(GD76,C76)</f>
        <v>1</v>
      </c>
      <c r="GI76" s="108" t="b">
        <f t="shared" ref="GI76:GI79" si="1157">EXACT(GG76,G76)</f>
        <v>0</v>
      </c>
    </row>
    <row r="77" spans="1:192" s="31" customFormat="1" hidden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99"/>
        <v>нет минмакс</v>
      </c>
      <c r="Q77" s="95">
        <v>5000</v>
      </c>
      <c r="R77" s="95">
        <f t="shared" si="1100"/>
        <v>44850</v>
      </c>
      <c r="S77" s="112">
        <v>1216</v>
      </c>
      <c r="T77" s="112">
        <v>12111.36</v>
      </c>
      <c r="U77" s="112">
        <f t="shared" si="1101"/>
        <v>0</v>
      </c>
      <c r="V77" s="113">
        <f t="shared" si="1102"/>
        <v>5000</v>
      </c>
      <c r="W77" s="113">
        <f t="shared" si="1103"/>
        <v>44850</v>
      </c>
      <c r="X77" s="113">
        <f t="shared" si="1104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105"/>
        <v>0</v>
      </c>
      <c r="AF77" s="95">
        <f t="shared" si="1106"/>
        <v>0</v>
      </c>
      <c r="AG77" s="114">
        <v>0</v>
      </c>
      <c r="AH77" s="95">
        <f t="shared" si="1107"/>
        <v>5000</v>
      </c>
      <c r="AI77" s="115">
        <f t="shared" si="1108"/>
        <v>44850</v>
      </c>
      <c r="AJ77" s="95">
        <f t="shared" si="1109"/>
        <v>1216</v>
      </c>
      <c r="AK77" s="95">
        <f t="shared" si="1110"/>
        <v>1216</v>
      </c>
      <c r="AL77" s="95">
        <f t="shared" si="1111"/>
        <v>3044</v>
      </c>
      <c r="AM77" s="95">
        <f t="shared" si="1112"/>
        <v>7200</v>
      </c>
      <c r="AN77" s="95">
        <f t="shared" si="1113"/>
        <v>10.133333333333333</v>
      </c>
      <c r="AO77" s="95" t="str">
        <f t="shared" si="1114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15"/>
        <v>0-05</v>
      </c>
      <c r="AW77" s="117">
        <f t="shared" si="1116"/>
        <v>0</v>
      </c>
      <c r="AX77" s="118"/>
      <c r="AY77" s="25">
        <f t="shared" si="1117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18"/>
        <v>0</v>
      </c>
      <c r="BG77" s="29">
        <v>0</v>
      </c>
      <c r="BH77" s="29">
        <f t="shared" si="1119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20"/>
        <v>3600</v>
      </c>
      <c r="BR77" s="95">
        <f t="shared" si="1121"/>
        <v>5000</v>
      </c>
      <c r="BS77" s="95">
        <f t="shared" si="1122"/>
        <v>5000</v>
      </c>
      <c r="BT77" s="95">
        <f t="shared" si="1122"/>
        <v>5000</v>
      </c>
      <c r="BU77" s="95">
        <f t="shared" si="1122"/>
        <v>5000</v>
      </c>
      <c r="BV77" s="95">
        <f t="shared" si="1122"/>
        <v>-400</v>
      </c>
      <c r="BW77" s="95">
        <f t="shared" si="1122"/>
        <v>-2200</v>
      </c>
      <c r="BX77" s="95">
        <f t="shared" si="1123"/>
        <v>-5800</v>
      </c>
      <c r="BY77" s="95">
        <f t="shared" si="1123"/>
        <v>-9400</v>
      </c>
      <c r="BZ77" s="95">
        <f t="shared" si="1123"/>
        <v>-13000</v>
      </c>
      <c r="CA77" s="95">
        <f t="shared" si="1123"/>
        <v>-16600</v>
      </c>
      <c r="CB77" s="95">
        <f t="shared" si="1123"/>
        <v>-20200</v>
      </c>
      <c r="CC77" s="95">
        <f t="shared" si="1123"/>
        <v>-23800</v>
      </c>
      <c r="CD77" s="95">
        <f t="shared" si="1123"/>
        <v>-27400</v>
      </c>
      <c r="CE77" s="95">
        <f t="shared" si="1123"/>
        <v>-31000</v>
      </c>
      <c r="CF77" s="95">
        <f t="shared" si="1123"/>
        <v>-34600</v>
      </c>
      <c r="CG77" s="95">
        <f t="shared" si="1123"/>
        <v>-38200</v>
      </c>
      <c r="CH77" s="95">
        <f t="shared" si="1123"/>
        <v>-41800</v>
      </c>
      <c r="CI77" s="95">
        <f t="shared" si="1123"/>
        <v>-45400</v>
      </c>
      <c r="CJ77" s="95">
        <f t="shared" si="1123"/>
        <v>-49000</v>
      </c>
      <c r="CK77" s="95">
        <f t="shared" si="1123"/>
        <v>-52600</v>
      </c>
      <c r="CL77" s="95">
        <f t="shared" si="1123"/>
        <v>-56200</v>
      </c>
      <c r="CM77" s="95">
        <f t="shared" si="1123"/>
        <v>-59800</v>
      </c>
      <c r="CN77" s="95">
        <f t="shared" si="1123"/>
        <v>-63400</v>
      </c>
      <c r="CO77" s="95">
        <f t="shared" si="1123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24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25"/>
        <v>0</v>
      </c>
      <c r="DB77" s="62">
        <f t="shared" si="1126"/>
        <v>0</v>
      </c>
      <c r="DC77" s="62">
        <f t="shared" si="1127"/>
        <v>0</v>
      </c>
      <c r="DD77" s="102">
        <f t="shared" si="1128"/>
        <v>0</v>
      </c>
      <c r="DE77" s="31">
        <v>0</v>
      </c>
      <c r="DF77" s="31">
        <v>90</v>
      </c>
      <c r="DG77" s="31">
        <v>0</v>
      </c>
      <c r="DH77" s="48">
        <f t="shared" si="1129"/>
        <v>0</v>
      </c>
      <c r="DI77" s="62">
        <v>2985.0319999999997</v>
      </c>
      <c r="DJ77" s="62">
        <v>29721.300999999999</v>
      </c>
      <c r="DK77" s="48">
        <f t="shared" si="1130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31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32"/>
        <v>0</v>
      </c>
      <c r="DV77" s="62">
        <v>0</v>
      </c>
      <c r="DW77" s="62">
        <v>0</v>
      </c>
      <c r="DX77" s="62">
        <f t="shared" si="1133"/>
        <v>0</v>
      </c>
      <c r="DY77" s="62">
        <f t="shared" si="1134"/>
        <v>0</v>
      </c>
      <c r="DZ77" s="48">
        <f t="shared" si="1135"/>
        <v>0</v>
      </c>
      <c r="EA77" s="62">
        <f t="shared" si="1136"/>
        <v>0</v>
      </c>
      <c r="EB77" s="62">
        <f t="shared" si="1137"/>
        <v>0</v>
      </c>
      <c r="EC77" s="48">
        <f t="shared" si="1138"/>
        <v>0</v>
      </c>
      <c r="ED77" s="62">
        <f t="shared" si="1139"/>
        <v>0</v>
      </c>
      <c r="EE77" s="62">
        <f t="shared" si="1140"/>
        <v>0</v>
      </c>
      <c r="EF77" s="48">
        <f t="shared" si="1141"/>
        <v>0</v>
      </c>
      <c r="EG77" s="62">
        <f t="shared" si="1142"/>
        <v>0</v>
      </c>
      <c r="EH77" s="62">
        <f t="shared" si="1143"/>
        <v>0</v>
      </c>
      <c r="EI77" s="48">
        <f t="shared" si="1144"/>
        <v>0</v>
      </c>
      <c r="EJ77" s="62">
        <f t="shared" si="1145"/>
        <v>16200</v>
      </c>
      <c r="EK77" s="62">
        <f t="shared" si="1146"/>
        <v>145314</v>
      </c>
      <c r="EL77" s="48">
        <f t="shared" si="1147"/>
        <v>0</v>
      </c>
      <c r="EM77" s="62">
        <f t="shared" si="1148"/>
        <v>5400</v>
      </c>
      <c r="EN77" s="62">
        <f t="shared" si="1149"/>
        <v>48438</v>
      </c>
      <c r="EO77" s="48">
        <f t="shared" si="1150"/>
        <v>0</v>
      </c>
      <c r="EP77" s="62">
        <f t="shared" si="1151"/>
        <v>0</v>
      </c>
      <c r="EQ77" s="62">
        <f t="shared" si="1151"/>
        <v>0</v>
      </c>
      <c r="ER77" s="62">
        <f t="shared" si="1151"/>
        <v>0</v>
      </c>
      <c r="ES77" s="62">
        <f t="shared" si="1152"/>
        <v>0</v>
      </c>
      <c r="ET77" s="62">
        <f t="shared" si="1152"/>
        <v>48438</v>
      </c>
      <c r="EU77" s="62">
        <f t="shared" si="1152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53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 t="shared" si="1034"/>
        <v>1</v>
      </c>
      <c r="FS77" s="103" t="b">
        <f t="shared" si="1035"/>
        <v>0</v>
      </c>
      <c r="FT77" s="103" t="b">
        <f t="shared" si="1036"/>
        <v>1</v>
      </c>
      <c r="FU77" s="103" t="b">
        <f t="shared" si="1037"/>
        <v>0</v>
      </c>
      <c r="FV77" s="103" t="b">
        <f t="shared" si="1038"/>
        <v>1</v>
      </c>
      <c r="FW77" s="104" t="b">
        <f t="shared" si="1094"/>
        <v>0</v>
      </c>
      <c r="FX77" s="120" t="b">
        <f t="shared" si="1154"/>
        <v>1</v>
      </c>
      <c r="FY77" s="104" t="s">
        <v>214</v>
      </c>
      <c r="FZ77" s="104" t="b">
        <f t="shared" si="1155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56"/>
        <v>1</v>
      </c>
      <c r="GI77" s="8" t="b">
        <f t="shared" si="1157"/>
        <v>0</v>
      </c>
    </row>
    <row r="78" spans="1:192" s="31" customFormat="1" hidden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99"/>
        <v>нет минмакс</v>
      </c>
      <c r="Q78" s="95">
        <v>5000</v>
      </c>
      <c r="R78" s="95">
        <f t="shared" si="1100"/>
        <v>44850</v>
      </c>
      <c r="S78" s="112">
        <v>1202</v>
      </c>
      <c r="T78" s="112">
        <v>11971.920000000002</v>
      </c>
      <c r="U78" s="112">
        <f t="shared" si="1101"/>
        <v>0</v>
      </c>
      <c r="V78" s="113">
        <f t="shared" si="1102"/>
        <v>5000</v>
      </c>
      <c r="W78" s="113">
        <f t="shared" si="1103"/>
        <v>44850</v>
      </c>
      <c r="X78" s="113">
        <f t="shared" si="1104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105"/>
        <v>0</v>
      </c>
      <c r="AF78" s="95">
        <f t="shared" si="1106"/>
        <v>0</v>
      </c>
      <c r="AG78" s="114">
        <v>0</v>
      </c>
      <c r="AH78" s="95">
        <f t="shared" si="1107"/>
        <v>5000</v>
      </c>
      <c r="AI78" s="115">
        <f t="shared" si="1108"/>
        <v>44850</v>
      </c>
      <c r="AJ78" s="95">
        <f t="shared" si="1109"/>
        <v>1202</v>
      </c>
      <c r="AK78" s="95">
        <f t="shared" si="1110"/>
        <v>1202</v>
      </c>
      <c r="AL78" s="95">
        <f t="shared" si="1111"/>
        <v>3075</v>
      </c>
      <c r="AM78" s="95">
        <f t="shared" si="1112"/>
        <v>7200</v>
      </c>
      <c r="AN78" s="95">
        <f t="shared" si="1113"/>
        <v>10.016666666666667</v>
      </c>
      <c r="AO78" s="95" t="str">
        <f t="shared" si="1114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15"/>
        <v>0-05</v>
      </c>
      <c r="AW78" s="117">
        <f t="shared" si="1116"/>
        <v>0</v>
      </c>
      <c r="AX78" s="118"/>
      <c r="AY78" s="25">
        <f t="shared" si="1117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18"/>
        <v>0</v>
      </c>
      <c r="BG78" s="29">
        <v>0</v>
      </c>
      <c r="BH78" s="29">
        <f t="shared" si="1119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20"/>
        <v>3600</v>
      </c>
      <c r="BR78" s="95">
        <f t="shared" si="1121"/>
        <v>5000</v>
      </c>
      <c r="BS78" s="95">
        <f t="shared" si="1122"/>
        <v>5000</v>
      </c>
      <c r="BT78" s="95">
        <f t="shared" si="1122"/>
        <v>5000</v>
      </c>
      <c r="BU78" s="95">
        <f t="shared" si="1122"/>
        <v>5000</v>
      </c>
      <c r="BV78" s="95">
        <f t="shared" si="1122"/>
        <v>-400</v>
      </c>
      <c r="BW78" s="95">
        <f t="shared" si="1122"/>
        <v>-2200</v>
      </c>
      <c r="BX78" s="95">
        <f t="shared" si="1123"/>
        <v>-5800</v>
      </c>
      <c r="BY78" s="95">
        <f t="shared" si="1123"/>
        <v>-9400</v>
      </c>
      <c r="BZ78" s="95">
        <f t="shared" si="1123"/>
        <v>-13000</v>
      </c>
      <c r="CA78" s="95">
        <f t="shared" si="1123"/>
        <v>-16600</v>
      </c>
      <c r="CB78" s="95">
        <f t="shared" si="1123"/>
        <v>-20200</v>
      </c>
      <c r="CC78" s="95">
        <f t="shared" si="1123"/>
        <v>-23800</v>
      </c>
      <c r="CD78" s="95">
        <f t="shared" si="1123"/>
        <v>-27400</v>
      </c>
      <c r="CE78" s="95">
        <f t="shared" si="1123"/>
        <v>-31000</v>
      </c>
      <c r="CF78" s="95">
        <f t="shared" si="1123"/>
        <v>-34600</v>
      </c>
      <c r="CG78" s="95">
        <f t="shared" si="1123"/>
        <v>-38200</v>
      </c>
      <c r="CH78" s="95">
        <f t="shared" si="1123"/>
        <v>-41800</v>
      </c>
      <c r="CI78" s="95">
        <f t="shared" si="1123"/>
        <v>-45400</v>
      </c>
      <c r="CJ78" s="95">
        <f t="shared" si="1123"/>
        <v>-49000</v>
      </c>
      <c r="CK78" s="95">
        <f t="shared" si="1123"/>
        <v>-52600</v>
      </c>
      <c r="CL78" s="95">
        <f t="shared" si="1123"/>
        <v>-56200</v>
      </c>
      <c r="CM78" s="95">
        <f t="shared" si="1123"/>
        <v>-59800</v>
      </c>
      <c r="CN78" s="95">
        <f t="shared" si="1123"/>
        <v>-63400</v>
      </c>
      <c r="CO78" s="95">
        <f t="shared" si="1123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24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25"/>
        <v>0</v>
      </c>
      <c r="DB78" s="62">
        <f t="shared" si="1126"/>
        <v>0</v>
      </c>
      <c r="DC78" s="62">
        <f t="shared" si="1127"/>
        <v>0</v>
      </c>
      <c r="DD78" s="102">
        <f t="shared" si="1128"/>
        <v>0</v>
      </c>
      <c r="DE78" s="31">
        <v>0</v>
      </c>
      <c r="DF78" s="31">
        <v>90</v>
      </c>
      <c r="DG78" s="31">
        <v>0</v>
      </c>
      <c r="DH78" s="48">
        <f t="shared" si="1129"/>
        <v>0</v>
      </c>
      <c r="DI78" s="62">
        <v>3014.5809999999997</v>
      </c>
      <c r="DJ78" s="62">
        <v>30012.949000000001</v>
      </c>
      <c r="DK78" s="48">
        <f t="shared" si="1130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31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32"/>
        <v>0</v>
      </c>
      <c r="DV78" s="62">
        <v>0</v>
      </c>
      <c r="DW78" s="62">
        <v>0</v>
      </c>
      <c r="DX78" s="62">
        <f t="shared" si="1133"/>
        <v>0</v>
      </c>
      <c r="DY78" s="62">
        <f t="shared" si="1134"/>
        <v>0</v>
      </c>
      <c r="DZ78" s="48">
        <f t="shared" si="1135"/>
        <v>0</v>
      </c>
      <c r="EA78" s="62">
        <f t="shared" si="1136"/>
        <v>0</v>
      </c>
      <c r="EB78" s="62">
        <f t="shared" si="1137"/>
        <v>0</v>
      </c>
      <c r="EC78" s="48">
        <f t="shared" si="1138"/>
        <v>0</v>
      </c>
      <c r="ED78" s="62">
        <f t="shared" si="1139"/>
        <v>0</v>
      </c>
      <c r="EE78" s="62">
        <f t="shared" si="1140"/>
        <v>0</v>
      </c>
      <c r="EF78" s="48">
        <f t="shared" si="1141"/>
        <v>0</v>
      </c>
      <c r="EG78" s="62">
        <f t="shared" si="1142"/>
        <v>0</v>
      </c>
      <c r="EH78" s="62">
        <f t="shared" si="1143"/>
        <v>0</v>
      </c>
      <c r="EI78" s="48">
        <f t="shared" si="1144"/>
        <v>0</v>
      </c>
      <c r="EJ78" s="62">
        <f t="shared" si="1145"/>
        <v>16200</v>
      </c>
      <c r="EK78" s="62">
        <f t="shared" si="1146"/>
        <v>145314</v>
      </c>
      <c r="EL78" s="48">
        <f t="shared" si="1147"/>
        <v>0</v>
      </c>
      <c r="EM78" s="62">
        <f t="shared" si="1148"/>
        <v>5400</v>
      </c>
      <c r="EN78" s="62">
        <f t="shared" si="1149"/>
        <v>48438</v>
      </c>
      <c r="EO78" s="48">
        <f t="shared" si="1150"/>
        <v>0</v>
      </c>
      <c r="EP78" s="62">
        <f t="shared" si="1151"/>
        <v>0</v>
      </c>
      <c r="EQ78" s="62">
        <f t="shared" si="1151"/>
        <v>0</v>
      </c>
      <c r="ER78" s="62">
        <f t="shared" si="1151"/>
        <v>0</v>
      </c>
      <c r="ES78" s="62">
        <f t="shared" si="1152"/>
        <v>0</v>
      </c>
      <c r="ET78" s="62">
        <f t="shared" si="1152"/>
        <v>48438</v>
      </c>
      <c r="EU78" s="62">
        <f t="shared" si="1152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53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 t="shared" si="1034"/>
        <v>1</v>
      </c>
      <c r="FS78" s="103" t="b">
        <f t="shared" si="1035"/>
        <v>0</v>
      </c>
      <c r="FT78" s="103" t="b">
        <f t="shared" si="1036"/>
        <v>1</v>
      </c>
      <c r="FU78" s="103" t="b">
        <f t="shared" si="1037"/>
        <v>0</v>
      </c>
      <c r="FV78" s="103" t="b">
        <f t="shared" si="1038"/>
        <v>1</v>
      </c>
      <c r="FW78" s="104" t="b">
        <f t="shared" si="1094"/>
        <v>0</v>
      </c>
      <c r="FX78" s="120" t="b">
        <f t="shared" si="1154"/>
        <v>1</v>
      </c>
      <c r="FY78" s="104" t="s">
        <v>214</v>
      </c>
      <c r="FZ78" s="104" t="b">
        <f t="shared" si="1155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56"/>
        <v>1</v>
      </c>
      <c r="GI78" s="8" t="b">
        <f t="shared" si="1157"/>
        <v>0</v>
      </c>
    </row>
    <row r="79" spans="1:192" s="31" customFormat="1" hidden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99"/>
        <v>нет минмакс</v>
      </c>
      <c r="Q79" s="95">
        <v>50</v>
      </c>
      <c r="R79" s="95">
        <f t="shared" si="1100"/>
        <v>1310.5</v>
      </c>
      <c r="S79" s="112">
        <v>150</v>
      </c>
      <c r="T79" s="112">
        <v>3931.5</v>
      </c>
      <c r="U79" s="112">
        <f t="shared" si="1101"/>
        <v>0</v>
      </c>
      <c r="V79" s="113">
        <f t="shared" si="1102"/>
        <v>50</v>
      </c>
      <c r="W79" s="113">
        <f t="shared" si="1103"/>
        <v>1310.5</v>
      </c>
      <c r="X79" s="113">
        <f t="shared" si="1104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105"/>
        <v>0</v>
      </c>
      <c r="AF79" s="95">
        <f t="shared" si="1106"/>
        <v>0</v>
      </c>
      <c r="AG79" s="114">
        <v>0</v>
      </c>
      <c r="AH79" s="95">
        <f t="shared" si="1107"/>
        <v>50</v>
      </c>
      <c r="AI79" s="115">
        <f t="shared" si="1108"/>
        <v>1310.5</v>
      </c>
      <c r="AJ79" s="95">
        <f t="shared" si="1109"/>
        <v>100</v>
      </c>
      <c r="AK79" s="95">
        <f t="shared" si="1110"/>
        <v>100</v>
      </c>
      <c r="AL79" s="95">
        <f t="shared" si="1111"/>
        <v>250</v>
      </c>
      <c r="AM79" s="95">
        <f t="shared" si="1112"/>
        <v>600</v>
      </c>
      <c r="AN79" s="95">
        <f t="shared" si="1113"/>
        <v>15</v>
      </c>
      <c r="AO79" s="95" t="str">
        <f t="shared" si="1114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15"/>
        <v>0-05</v>
      </c>
      <c r="AW79" s="117">
        <f t="shared" si="1116"/>
        <v>0</v>
      </c>
      <c r="AX79" s="118"/>
      <c r="AY79" s="25">
        <f t="shared" si="1117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18"/>
        <v>0</v>
      </c>
      <c r="BG79" s="29">
        <v>0</v>
      </c>
      <c r="BH79" s="29">
        <f t="shared" si="1119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20"/>
        <v>300</v>
      </c>
      <c r="BR79" s="95">
        <f t="shared" si="1121"/>
        <v>50</v>
      </c>
      <c r="BS79" s="95">
        <f t="shared" si="1122"/>
        <v>50</v>
      </c>
      <c r="BT79" s="95">
        <f t="shared" si="1122"/>
        <v>50</v>
      </c>
      <c r="BU79" s="95">
        <f t="shared" si="1122"/>
        <v>50</v>
      </c>
      <c r="BV79" s="95">
        <f t="shared" si="1122"/>
        <v>-400</v>
      </c>
      <c r="BW79" s="95">
        <f t="shared" si="1122"/>
        <v>-550</v>
      </c>
      <c r="BX79" s="95">
        <f t="shared" si="1123"/>
        <v>-850</v>
      </c>
      <c r="BY79" s="95">
        <f t="shared" si="1123"/>
        <v>-1150</v>
      </c>
      <c r="BZ79" s="95">
        <f t="shared" si="1123"/>
        <v>-1450</v>
      </c>
      <c r="CA79" s="95">
        <f t="shared" si="1123"/>
        <v>-1750</v>
      </c>
      <c r="CB79" s="95">
        <f t="shared" si="1123"/>
        <v>-2050</v>
      </c>
      <c r="CC79" s="95">
        <f t="shared" si="1123"/>
        <v>-2350</v>
      </c>
      <c r="CD79" s="95">
        <f t="shared" si="1123"/>
        <v>-2650</v>
      </c>
      <c r="CE79" s="95">
        <f t="shared" si="1123"/>
        <v>-2950</v>
      </c>
      <c r="CF79" s="95">
        <f t="shared" si="1123"/>
        <v>-3250</v>
      </c>
      <c r="CG79" s="95">
        <f t="shared" si="1123"/>
        <v>-3550</v>
      </c>
      <c r="CH79" s="95">
        <f t="shared" si="1123"/>
        <v>-3850</v>
      </c>
      <c r="CI79" s="95">
        <f t="shared" si="1123"/>
        <v>-4150</v>
      </c>
      <c r="CJ79" s="95">
        <f t="shared" si="1123"/>
        <v>-4450</v>
      </c>
      <c r="CK79" s="95">
        <f t="shared" si="1123"/>
        <v>-4750</v>
      </c>
      <c r="CL79" s="95">
        <f t="shared" si="1123"/>
        <v>-5050</v>
      </c>
      <c r="CM79" s="95">
        <f t="shared" si="1123"/>
        <v>-5350</v>
      </c>
      <c r="CN79" s="95">
        <f t="shared" si="1123"/>
        <v>-5650</v>
      </c>
      <c r="CO79" s="95">
        <f t="shared" si="1123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24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25"/>
        <v>0</v>
      </c>
      <c r="DB79" s="62">
        <f t="shared" si="1126"/>
        <v>0</v>
      </c>
      <c r="DC79" s="62">
        <f t="shared" si="1127"/>
        <v>0</v>
      </c>
      <c r="DD79" s="102">
        <f t="shared" si="1128"/>
        <v>0</v>
      </c>
      <c r="DE79" s="31">
        <v>0</v>
      </c>
      <c r="DF79" s="31">
        <v>90</v>
      </c>
      <c r="DG79" s="31">
        <v>0</v>
      </c>
      <c r="DH79" s="48">
        <f t="shared" si="1129"/>
        <v>0</v>
      </c>
      <c r="DI79" s="62">
        <v>43.548000000000002</v>
      </c>
      <c r="DJ79" s="62">
        <v>1141.3820000000001</v>
      </c>
      <c r="DK79" s="48">
        <f t="shared" si="1130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31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32"/>
        <v>0</v>
      </c>
      <c r="DV79" s="62">
        <v>0</v>
      </c>
      <c r="DW79" s="62">
        <v>0</v>
      </c>
      <c r="DX79" s="62">
        <f t="shared" si="1133"/>
        <v>0</v>
      </c>
      <c r="DY79" s="62">
        <f t="shared" si="1134"/>
        <v>0</v>
      </c>
      <c r="DZ79" s="48">
        <f t="shared" si="1135"/>
        <v>0</v>
      </c>
      <c r="EA79" s="62">
        <f t="shared" si="1136"/>
        <v>0</v>
      </c>
      <c r="EB79" s="62">
        <f t="shared" si="1137"/>
        <v>0</v>
      </c>
      <c r="EC79" s="48">
        <f t="shared" si="1138"/>
        <v>0</v>
      </c>
      <c r="ED79" s="62">
        <f t="shared" si="1139"/>
        <v>0</v>
      </c>
      <c r="EE79" s="62">
        <f t="shared" si="1140"/>
        <v>0</v>
      </c>
      <c r="EF79" s="48">
        <f t="shared" si="1141"/>
        <v>0</v>
      </c>
      <c r="EG79" s="62">
        <f t="shared" si="1142"/>
        <v>0</v>
      </c>
      <c r="EH79" s="62">
        <f t="shared" si="1143"/>
        <v>0</v>
      </c>
      <c r="EI79" s="48">
        <f t="shared" si="1144"/>
        <v>0</v>
      </c>
      <c r="EJ79" s="62">
        <f t="shared" si="1145"/>
        <v>1350</v>
      </c>
      <c r="EK79" s="62">
        <f t="shared" si="1146"/>
        <v>35383.5</v>
      </c>
      <c r="EL79" s="48">
        <f t="shared" si="1147"/>
        <v>0</v>
      </c>
      <c r="EM79" s="62">
        <f t="shared" si="1148"/>
        <v>450</v>
      </c>
      <c r="EN79" s="62">
        <f t="shared" si="1149"/>
        <v>11794.5</v>
      </c>
      <c r="EO79" s="48">
        <f t="shared" si="1150"/>
        <v>0</v>
      </c>
      <c r="EP79" s="62">
        <f t="shared" si="1151"/>
        <v>0</v>
      </c>
      <c r="EQ79" s="62">
        <f t="shared" si="1151"/>
        <v>0</v>
      </c>
      <c r="ER79" s="62">
        <f t="shared" si="1151"/>
        <v>0</v>
      </c>
      <c r="ES79" s="62">
        <f t="shared" si="1152"/>
        <v>0</v>
      </c>
      <c r="ET79" s="62">
        <f t="shared" si="1152"/>
        <v>11794.5</v>
      </c>
      <c r="EU79" s="62">
        <f t="shared" si="1152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53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 t="shared" si="1034"/>
        <v>1</v>
      </c>
      <c r="FS79" s="103" t="b">
        <f t="shared" si="1035"/>
        <v>0</v>
      </c>
      <c r="FT79" s="103" t="b">
        <f t="shared" si="1036"/>
        <v>1</v>
      </c>
      <c r="FU79" s="103" t="b">
        <f t="shared" si="1037"/>
        <v>0</v>
      </c>
      <c r="FV79" s="103" t="b">
        <f t="shared" si="1038"/>
        <v>1</v>
      </c>
      <c r="FW79" s="104" t="b">
        <f t="shared" si="1094"/>
        <v>0</v>
      </c>
      <c r="FX79" s="120" t="b">
        <f t="shared" si="1154"/>
        <v>1</v>
      </c>
      <c r="FY79" s="104" t="s">
        <v>214</v>
      </c>
      <c r="FZ79" s="104" t="b">
        <f t="shared" si="1155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56"/>
        <v>1</v>
      </c>
      <c r="GI79" s="8" t="b">
        <f t="shared" si="1157"/>
        <v>0</v>
      </c>
    </row>
    <row r="80" spans="1:192" s="31" customFormat="1" hidden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58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59">Q80*FH80</f>
        <v>1551790.72</v>
      </c>
      <c r="S80" s="94">
        <v>336</v>
      </c>
      <c r="T80" s="94">
        <v>99741.6</v>
      </c>
      <c r="U80" s="94">
        <f t="shared" ref="U80:U83" si="1160">IFERROR(ROUNDUP(S80/$EX80,0)*$EY80,0)</f>
        <v>1</v>
      </c>
      <c r="V80" s="94">
        <f t="shared" ref="V80:V83" si="1161">SUM(Z80:AD80)</f>
        <v>2992</v>
      </c>
      <c r="W80" s="94">
        <f t="shared" ref="W80:W83" si="1162">V80*FH80</f>
        <v>868816.96</v>
      </c>
      <c r="X80" s="94">
        <f t="shared" ref="X80:X83" si="1163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64">AA80*FH80</f>
        <v>0</v>
      </c>
      <c r="AF80" s="95">
        <f t="shared" ref="AF80:AF83" si="1165">AB80*FH80</f>
        <v>13938.24</v>
      </c>
      <c r="AG80" s="96">
        <v>40</v>
      </c>
      <c r="AH80" s="95">
        <f t="shared" ref="AH80:AH83" si="1166">V80-AG80</f>
        <v>2952</v>
      </c>
      <c r="AI80" s="94">
        <f t="shared" ref="AI80:AI83" si="1167">IF(AH80&gt;0,AH80*FH80,0)</f>
        <v>857201.76</v>
      </c>
      <c r="AJ80" s="94">
        <f t="shared" ref="AJ80:AJ83" si="1168">CU80</f>
        <v>16</v>
      </c>
      <c r="AK80" s="94">
        <f t="shared" ref="AK80:AK83" si="1169">SUM(CS80:CU80)</f>
        <v>2112</v>
      </c>
      <c r="AL80" s="94">
        <f t="shared" ref="AL80:AL83" si="1170">SUM(CP80:CU80)</f>
        <v>4936</v>
      </c>
      <c r="AM80" s="94">
        <f t="shared" ref="AM80:AM83" si="1171">SUM(BK80:BP80)</f>
        <v>10800</v>
      </c>
      <c r="AN80" s="94">
        <f t="shared" ref="AN80:AN83" si="1172">IFERROR(S80/BQ80*30,"нет оборота")</f>
        <v>5.6000000000000005</v>
      </c>
      <c r="AO80" s="94" t="str">
        <f t="shared" ref="AO80:AO83" si="1173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74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75">IF(AT80="Да",W80,0)</f>
        <v>868816.96</v>
      </c>
      <c r="AX80" s="14">
        <f>MONTH(BC80)-6</f>
        <v>3</v>
      </c>
      <c r="AY80" s="94">
        <f t="shared" ref="AY80:AY83" si="1176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77">BE80*FH80</f>
        <v>0</v>
      </c>
      <c r="BG80" s="29">
        <v>0</v>
      </c>
      <c r="BH80" s="29">
        <f t="shared" ref="BH80:BH83" si="1178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79">IF(COUNTIF(BK80:BP80,"&gt;0")=0,0,SUM(BK80:BP80)/COUNTIF(BK80:BP80,"&gt;0"))</f>
        <v>1800</v>
      </c>
      <c r="BR80" s="95">
        <f t="shared" ref="BR80:BR83" si="1180">IF(OR(Q80=0,SUM(BK80:BP80)=0,V80&gt;Q80),V80-BK80,Q80-BK80)</f>
        <v>3544</v>
      </c>
      <c r="BS80" s="95">
        <f t="shared" ref="BS80:BW83" si="1181">BR80-BL80</f>
        <v>1744</v>
      </c>
      <c r="BT80" s="95">
        <f t="shared" si="1181"/>
        <v>-56</v>
      </c>
      <c r="BU80" s="95">
        <f t="shared" si="1181"/>
        <v>-1856</v>
      </c>
      <c r="BV80" s="95">
        <f t="shared" si="1181"/>
        <v>-3656</v>
      </c>
      <c r="BW80" s="95">
        <f t="shared" si="1181"/>
        <v>-5456</v>
      </c>
      <c r="BX80" s="95">
        <f t="shared" ref="BX80:CO83" si="1182">BW80-$BQ80</f>
        <v>-7256</v>
      </c>
      <c r="BY80" s="95">
        <f t="shared" si="1182"/>
        <v>-9056</v>
      </c>
      <c r="BZ80" s="95">
        <f t="shared" si="1182"/>
        <v>-10856</v>
      </c>
      <c r="CA80" s="95">
        <f t="shared" si="1182"/>
        <v>-12656</v>
      </c>
      <c r="CB80" s="95">
        <f t="shared" si="1182"/>
        <v>-14456</v>
      </c>
      <c r="CC80" s="95">
        <f t="shared" si="1182"/>
        <v>-16256</v>
      </c>
      <c r="CD80" s="95">
        <f t="shared" si="1182"/>
        <v>-18056</v>
      </c>
      <c r="CE80" s="95">
        <f t="shared" si="1182"/>
        <v>-19856</v>
      </c>
      <c r="CF80" s="95">
        <f t="shared" si="1182"/>
        <v>-21656</v>
      </c>
      <c r="CG80" s="95">
        <f t="shared" si="1182"/>
        <v>-23456</v>
      </c>
      <c r="CH80" s="95">
        <f t="shared" si="1182"/>
        <v>-25256</v>
      </c>
      <c r="CI80" s="95">
        <f t="shared" si="1182"/>
        <v>-27056</v>
      </c>
      <c r="CJ80" s="95">
        <f t="shared" si="1182"/>
        <v>-28856</v>
      </c>
      <c r="CK80" s="95">
        <f t="shared" si="1182"/>
        <v>-30656</v>
      </c>
      <c r="CL80" s="95">
        <f t="shared" si="1182"/>
        <v>-32456</v>
      </c>
      <c r="CM80" s="95">
        <f t="shared" si="1182"/>
        <v>-34256</v>
      </c>
      <c r="CN80" s="95">
        <f t="shared" si="1182"/>
        <v>-36056</v>
      </c>
      <c r="CO80" s="95">
        <f t="shared" si="1182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83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84">IFERROR(CZ80/CY80,0)</f>
        <v>0.93028682547399133</v>
      </c>
      <c r="DB80" s="62">
        <f t="shared" ref="DB80:DB83" si="1185">CY80*FH80</f>
        <v>649251.80434782605</v>
      </c>
      <c r="DC80" s="62">
        <f t="shared" ref="DC80:DC83" si="1186">CZ80*FH80</f>
        <v>603990.4</v>
      </c>
      <c r="DD80" s="102">
        <f t="shared" ref="DD80:DD83" si="1187">IFERROR(DC80/DB80,0)</f>
        <v>0.93028682547399133</v>
      </c>
      <c r="DE80" s="31">
        <v>0</v>
      </c>
      <c r="DG80" s="31">
        <v>0</v>
      </c>
      <c r="DH80" s="48">
        <f t="shared" ref="DH80:DH83" si="1188">IFERROR(ROUNDUP(DG80/$EX80,0)*$EY80,0)</f>
        <v>0</v>
      </c>
      <c r="DI80" s="62">
        <v>1136</v>
      </c>
      <c r="DJ80" s="62">
        <v>333557.299</v>
      </c>
      <c r="DK80" s="48">
        <f t="shared" ref="DK80:DK83" si="1189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90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91">IFERROR(ROUNDUP(DS80/$EX80,0)*$EY80,0)</f>
        <v>4</v>
      </c>
      <c r="DV80" s="62">
        <v>2080</v>
      </c>
      <c r="DW80" s="62">
        <v>610740.61379072361</v>
      </c>
      <c r="DX80" s="62">
        <f t="shared" ref="DX80:DX83" si="1192">$DF80*BK80/30</f>
        <v>0</v>
      </c>
      <c r="DY80" s="62">
        <f t="shared" ref="DY80:DY83" si="1193">DX80*$FH80</f>
        <v>0</v>
      </c>
      <c r="DZ80" s="48">
        <f t="shared" ref="DZ80:DZ83" si="1194">IFERROR(ROUNDUP(DX80/$EX80,0)*$EY80,0)</f>
        <v>0</v>
      </c>
      <c r="EA80" s="62">
        <f t="shared" ref="EA80:EA83" si="1195">$DF80*BL80/30</f>
        <v>0</v>
      </c>
      <c r="EB80" s="62">
        <f t="shared" ref="EB80:EB83" si="1196">EA80*$FH80</f>
        <v>0</v>
      </c>
      <c r="EC80" s="48">
        <f t="shared" ref="EC80:EC83" si="1197">IFERROR(ROUNDUP(EA80/$EX80,0)*$EY80,0)</f>
        <v>0</v>
      </c>
      <c r="ED80" s="62">
        <f t="shared" ref="ED80:ED83" si="1198">$DF80*BM80/30</f>
        <v>0</v>
      </c>
      <c r="EE80" s="62">
        <f t="shared" ref="EE80:EE83" si="1199">ED80*$FH80</f>
        <v>0</v>
      </c>
      <c r="EF80" s="48">
        <f t="shared" ref="EF80:EF83" si="1200">IFERROR(ROUNDUP(ED80/$EX80,0)*$EY80,0)</f>
        <v>0</v>
      </c>
      <c r="EG80" s="62">
        <f t="shared" ref="EG80:EG83" si="1201">$DF80*BN80/30</f>
        <v>0</v>
      </c>
      <c r="EH80" s="62">
        <f t="shared" ref="EH80:EH83" si="1202">EG80*$FH80</f>
        <v>0</v>
      </c>
      <c r="EI80" s="48">
        <f t="shared" ref="EI80:EI83" si="1203">IFERROR(ROUNDUP(EG80/$EX80,0)*$EY80,0)</f>
        <v>0</v>
      </c>
      <c r="EJ80" s="62">
        <f t="shared" ref="EJ80:EJ83" si="1204">$DF80*BO80/30</f>
        <v>0</v>
      </c>
      <c r="EK80" s="62">
        <f t="shared" ref="EK80:EK83" si="1205">EJ80*$FH80</f>
        <v>0</v>
      </c>
      <c r="EL80" s="48">
        <f t="shared" ref="EL80:EL83" si="1206">IFERROR(ROUNDUP(EJ80/$EX80,0)*$EY80,0)</f>
        <v>0</v>
      </c>
      <c r="EM80" s="62">
        <f t="shared" ref="EM80:EM83" si="1207">$DF80*BP80/30</f>
        <v>0</v>
      </c>
      <c r="EN80" s="62">
        <f t="shared" ref="EN80:EN83" si="1208">EM80*$FH80</f>
        <v>0</v>
      </c>
      <c r="EO80" s="48">
        <f t="shared" ref="EO80:EO83" si="1209">IFERROR(ROUNDUP(EM80/$EX80,0)*$EY80,0)</f>
        <v>0</v>
      </c>
      <c r="EP80" s="62">
        <f t="shared" ref="EP80:EU83" si="1210">BK80*$FH80</f>
        <v>522684</v>
      </c>
      <c r="EQ80" s="62">
        <f t="shared" si="1210"/>
        <v>522684</v>
      </c>
      <c r="ER80" s="62">
        <f t="shared" si="1210"/>
        <v>522684</v>
      </c>
      <c r="ES80" s="62">
        <f t="shared" si="1210"/>
        <v>522684</v>
      </c>
      <c r="ET80" s="62">
        <f t="shared" si="1210"/>
        <v>522684</v>
      </c>
      <c r="EU80" s="62">
        <f t="shared" si="1210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211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 t="shared" si="1034"/>
        <v>1</v>
      </c>
      <c r="FS80" s="104" t="b">
        <f t="shared" si="1035"/>
        <v>1</v>
      </c>
      <c r="FT80" s="104" t="b">
        <f t="shared" si="1036"/>
        <v>1</v>
      </c>
      <c r="FU80" s="104" t="b">
        <f t="shared" si="1037"/>
        <v>0</v>
      </c>
      <c r="FV80" s="104" t="b">
        <f t="shared" si="1038"/>
        <v>1</v>
      </c>
      <c r="FW80" s="104" t="b">
        <f t="shared" si="1094"/>
        <v>0</v>
      </c>
      <c r="FX80" s="104" t="b">
        <f t="shared" ref="FX80:FX83" si="1212">EXACT(FQ80,BI80)</f>
        <v>1</v>
      </c>
      <c r="FY80" s="104" t="s">
        <v>214</v>
      </c>
      <c r="FZ80" s="104" t="b">
        <f t="shared" ref="FZ80:FZ83" si="1213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14">EXACT(GD80,C80)</f>
        <v>1</v>
      </c>
      <c r="GI80" s="108" t="b">
        <f t="shared" ref="GI80:GI83" si="1215">EXACT(GG80,G80)</f>
        <v>0</v>
      </c>
    </row>
    <row r="81" spans="1:191" s="31" customFormat="1" hidden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58"/>
        <v>нет минмакс</v>
      </c>
      <c r="Q81" s="95">
        <v>0</v>
      </c>
      <c r="R81" s="95">
        <f t="shared" si="1159"/>
        <v>0</v>
      </c>
      <c r="S81" s="112">
        <v>5062</v>
      </c>
      <c r="T81" s="112">
        <v>28144.719999999998</v>
      </c>
      <c r="U81" s="112">
        <f t="shared" si="1160"/>
        <v>0</v>
      </c>
      <c r="V81" s="113">
        <f t="shared" si="1161"/>
        <v>0</v>
      </c>
      <c r="W81" s="113">
        <f t="shared" si="1162"/>
        <v>0</v>
      </c>
      <c r="X81" s="113">
        <f t="shared" si="1163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64"/>
        <v>0</v>
      </c>
      <c r="AF81" s="95">
        <f t="shared" si="1165"/>
        <v>0</v>
      </c>
      <c r="AG81" s="114">
        <v>0</v>
      </c>
      <c r="AH81" s="95">
        <f t="shared" si="1166"/>
        <v>0</v>
      </c>
      <c r="AI81" s="115">
        <f t="shared" si="1167"/>
        <v>0</v>
      </c>
      <c r="AJ81" s="95">
        <f t="shared" si="1168"/>
        <v>0</v>
      </c>
      <c r="AK81" s="95">
        <f t="shared" si="1169"/>
        <v>7409</v>
      </c>
      <c r="AL81" s="95">
        <f t="shared" si="1170"/>
        <v>10098</v>
      </c>
      <c r="AM81" s="95">
        <f t="shared" si="1171"/>
        <v>7200</v>
      </c>
      <c r="AN81" s="95">
        <f t="shared" si="1172"/>
        <v>42.18333333333333</v>
      </c>
      <c r="AO81" s="95" t="str">
        <f t="shared" si="1173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74"/>
        <v>нет остатка</v>
      </c>
      <c r="AW81" s="117">
        <f t="shared" si="1175"/>
        <v>0</v>
      </c>
      <c r="AX81" s="118"/>
      <c r="AY81" s="25">
        <f t="shared" si="1176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77"/>
        <v>0</v>
      </c>
      <c r="BG81" s="29">
        <v>0</v>
      </c>
      <c r="BH81" s="29">
        <f t="shared" si="1178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79"/>
        <v>3600</v>
      </c>
      <c r="BR81" s="95">
        <f t="shared" si="1180"/>
        <v>0</v>
      </c>
      <c r="BS81" s="95">
        <f t="shared" si="1181"/>
        <v>0</v>
      </c>
      <c r="BT81" s="95">
        <f t="shared" si="1181"/>
        <v>-5400</v>
      </c>
      <c r="BU81" s="95">
        <f t="shared" si="1181"/>
        <v>-5400</v>
      </c>
      <c r="BV81" s="95">
        <f t="shared" si="1181"/>
        <v>-5400</v>
      </c>
      <c r="BW81" s="95">
        <f t="shared" si="1181"/>
        <v>-7200</v>
      </c>
      <c r="BX81" s="95">
        <f t="shared" si="1182"/>
        <v>-10800</v>
      </c>
      <c r="BY81" s="95">
        <f t="shared" si="1182"/>
        <v>-14400</v>
      </c>
      <c r="BZ81" s="95">
        <f t="shared" si="1182"/>
        <v>-18000</v>
      </c>
      <c r="CA81" s="95">
        <f t="shared" si="1182"/>
        <v>-21600</v>
      </c>
      <c r="CB81" s="95">
        <f t="shared" si="1182"/>
        <v>-25200</v>
      </c>
      <c r="CC81" s="95">
        <f t="shared" si="1182"/>
        <v>-28800</v>
      </c>
      <c r="CD81" s="95">
        <f t="shared" si="1182"/>
        <v>-32400</v>
      </c>
      <c r="CE81" s="95">
        <f t="shared" si="1182"/>
        <v>-36000</v>
      </c>
      <c r="CF81" s="95">
        <f t="shared" si="1182"/>
        <v>-39600</v>
      </c>
      <c r="CG81" s="95">
        <f t="shared" si="1182"/>
        <v>-43200</v>
      </c>
      <c r="CH81" s="95">
        <f t="shared" si="1182"/>
        <v>-46800</v>
      </c>
      <c r="CI81" s="95">
        <f t="shared" si="1182"/>
        <v>-50400</v>
      </c>
      <c r="CJ81" s="95">
        <f t="shared" si="1182"/>
        <v>-54000</v>
      </c>
      <c r="CK81" s="95">
        <f t="shared" si="1182"/>
        <v>-57600</v>
      </c>
      <c r="CL81" s="95">
        <f t="shared" si="1182"/>
        <v>-61200</v>
      </c>
      <c r="CM81" s="95">
        <f t="shared" si="1182"/>
        <v>-64800</v>
      </c>
      <c r="CN81" s="95">
        <f t="shared" si="1182"/>
        <v>-68400</v>
      </c>
      <c r="CO81" s="95">
        <f t="shared" si="1182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83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84"/>
        <v>0</v>
      </c>
      <c r="DB81" s="62">
        <f t="shared" si="1185"/>
        <v>0</v>
      </c>
      <c r="DC81" s="62">
        <f t="shared" si="1186"/>
        <v>0</v>
      </c>
      <c r="DD81" s="102">
        <f t="shared" si="1187"/>
        <v>0</v>
      </c>
      <c r="DE81" s="31">
        <v>0</v>
      </c>
      <c r="DF81" s="31">
        <v>90</v>
      </c>
      <c r="DG81" s="31">
        <v>0</v>
      </c>
      <c r="DH81" s="48">
        <f t="shared" si="1188"/>
        <v>0</v>
      </c>
      <c r="DI81" s="62">
        <v>2409</v>
      </c>
      <c r="DJ81" s="62">
        <v>14467.87</v>
      </c>
      <c r="DK81" s="48">
        <f t="shared" si="1189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90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91"/>
        <v>0</v>
      </c>
      <c r="DV81" s="62">
        <v>2347</v>
      </c>
      <c r="DW81" s="62">
        <v>14095.797487249903</v>
      </c>
      <c r="DX81" s="62">
        <f t="shared" si="1192"/>
        <v>0</v>
      </c>
      <c r="DY81" s="62">
        <f t="shared" si="1193"/>
        <v>0</v>
      </c>
      <c r="DZ81" s="48">
        <f t="shared" si="1194"/>
        <v>0</v>
      </c>
      <c r="EA81" s="62">
        <f t="shared" si="1195"/>
        <v>0</v>
      </c>
      <c r="EB81" s="62">
        <f t="shared" si="1196"/>
        <v>0</v>
      </c>
      <c r="EC81" s="48">
        <f t="shared" si="1197"/>
        <v>0</v>
      </c>
      <c r="ED81" s="62">
        <f t="shared" si="1198"/>
        <v>16200</v>
      </c>
      <c r="EE81" s="62">
        <f t="shared" si="1199"/>
        <v>90072</v>
      </c>
      <c r="EF81" s="48">
        <f t="shared" si="1200"/>
        <v>0</v>
      </c>
      <c r="EG81" s="62">
        <f t="shared" si="1201"/>
        <v>0</v>
      </c>
      <c r="EH81" s="62">
        <f t="shared" si="1202"/>
        <v>0</v>
      </c>
      <c r="EI81" s="48">
        <f t="shared" si="1203"/>
        <v>0</v>
      </c>
      <c r="EJ81" s="62">
        <f t="shared" si="1204"/>
        <v>0</v>
      </c>
      <c r="EK81" s="62">
        <f t="shared" si="1205"/>
        <v>0</v>
      </c>
      <c r="EL81" s="48">
        <f t="shared" si="1206"/>
        <v>0</v>
      </c>
      <c r="EM81" s="62">
        <f t="shared" si="1207"/>
        <v>5400</v>
      </c>
      <c r="EN81" s="62">
        <f t="shared" si="1208"/>
        <v>30023.999999999996</v>
      </c>
      <c r="EO81" s="48">
        <f t="shared" si="1209"/>
        <v>0</v>
      </c>
      <c r="EP81" s="62">
        <f t="shared" si="1210"/>
        <v>0</v>
      </c>
      <c r="EQ81" s="62">
        <f t="shared" si="1210"/>
        <v>0</v>
      </c>
      <c r="ER81" s="62">
        <f t="shared" si="1210"/>
        <v>30023.999999999996</v>
      </c>
      <c r="ES81" s="62">
        <f t="shared" si="1210"/>
        <v>0</v>
      </c>
      <c r="ET81" s="62">
        <f t="shared" si="1210"/>
        <v>0</v>
      </c>
      <c r="EU81" s="62">
        <f t="shared" si="1210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211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 t="shared" si="1034"/>
        <v>1</v>
      </c>
      <c r="FS81" s="103" t="b">
        <f t="shared" si="1035"/>
        <v>0</v>
      </c>
      <c r="FT81" s="103" t="b">
        <f t="shared" si="1036"/>
        <v>1</v>
      </c>
      <c r="FU81" s="103" t="b">
        <f t="shared" si="1037"/>
        <v>0</v>
      </c>
      <c r="FV81" s="103" t="b">
        <f t="shared" si="1038"/>
        <v>1</v>
      </c>
      <c r="FW81" s="104" t="b">
        <f t="shared" si="1094"/>
        <v>0</v>
      </c>
      <c r="FX81" s="120" t="b">
        <f t="shared" si="1212"/>
        <v>1</v>
      </c>
      <c r="FY81" s="104" t="s">
        <v>214</v>
      </c>
      <c r="FZ81" s="104" t="b">
        <f t="shared" si="1213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14"/>
        <v>1</v>
      </c>
      <c r="GI81" s="8" t="b">
        <f t="shared" si="1215"/>
        <v>0</v>
      </c>
    </row>
    <row r="82" spans="1:191" s="31" customFormat="1" hidden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58"/>
        <v>нет минмакс</v>
      </c>
      <c r="Q82" s="95">
        <v>0</v>
      </c>
      <c r="R82" s="95">
        <f t="shared" si="1159"/>
        <v>0</v>
      </c>
      <c r="S82" s="112">
        <v>5000</v>
      </c>
      <c r="T82" s="112">
        <v>27799.999999999996</v>
      </c>
      <c r="U82" s="112">
        <f t="shared" si="1160"/>
        <v>0</v>
      </c>
      <c r="V82" s="113">
        <f t="shared" si="1161"/>
        <v>0</v>
      </c>
      <c r="W82" s="113">
        <f t="shared" si="1162"/>
        <v>0</v>
      </c>
      <c r="X82" s="113">
        <f t="shared" si="1163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64"/>
        <v>0</v>
      </c>
      <c r="AF82" s="95">
        <f t="shared" si="1165"/>
        <v>0</v>
      </c>
      <c r="AG82" s="114">
        <v>0</v>
      </c>
      <c r="AH82" s="95">
        <f t="shared" si="1166"/>
        <v>0</v>
      </c>
      <c r="AI82" s="115">
        <f t="shared" si="1167"/>
        <v>0</v>
      </c>
      <c r="AJ82" s="95">
        <f t="shared" si="1168"/>
        <v>0</v>
      </c>
      <c r="AK82" s="95">
        <f t="shared" si="1169"/>
        <v>7433</v>
      </c>
      <c r="AL82" s="95">
        <f t="shared" si="1170"/>
        <v>10122</v>
      </c>
      <c r="AM82" s="95">
        <f t="shared" si="1171"/>
        <v>7200</v>
      </c>
      <c r="AN82" s="95">
        <f t="shared" si="1172"/>
        <v>41.666666666666664</v>
      </c>
      <c r="AO82" s="95" t="str">
        <f t="shared" si="1173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74"/>
        <v>нет остатка</v>
      </c>
      <c r="AW82" s="117">
        <f t="shared" si="1175"/>
        <v>0</v>
      </c>
      <c r="AX82" s="118"/>
      <c r="AY82" s="25">
        <f t="shared" si="1176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77"/>
        <v>0</v>
      </c>
      <c r="BG82" s="29">
        <v>0</v>
      </c>
      <c r="BH82" s="29">
        <f t="shared" si="1178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79"/>
        <v>3600</v>
      </c>
      <c r="BR82" s="95">
        <f t="shared" si="1180"/>
        <v>0</v>
      </c>
      <c r="BS82" s="95">
        <f t="shared" si="1181"/>
        <v>0</v>
      </c>
      <c r="BT82" s="95">
        <f t="shared" si="1181"/>
        <v>-5400</v>
      </c>
      <c r="BU82" s="95">
        <f t="shared" si="1181"/>
        <v>-5400</v>
      </c>
      <c r="BV82" s="95">
        <f t="shared" si="1181"/>
        <v>-5400</v>
      </c>
      <c r="BW82" s="95">
        <f t="shared" si="1181"/>
        <v>-7200</v>
      </c>
      <c r="BX82" s="95">
        <f t="shared" si="1182"/>
        <v>-10800</v>
      </c>
      <c r="BY82" s="95">
        <f t="shared" si="1182"/>
        <v>-14400</v>
      </c>
      <c r="BZ82" s="95">
        <f t="shared" si="1182"/>
        <v>-18000</v>
      </c>
      <c r="CA82" s="95">
        <f t="shared" si="1182"/>
        <v>-21600</v>
      </c>
      <c r="CB82" s="95">
        <f t="shared" si="1182"/>
        <v>-25200</v>
      </c>
      <c r="CC82" s="95">
        <f t="shared" si="1182"/>
        <v>-28800</v>
      </c>
      <c r="CD82" s="95">
        <f t="shared" si="1182"/>
        <v>-32400</v>
      </c>
      <c r="CE82" s="95">
        <f t="shared" si="1182"/>
        <v>-36000</v>
      </c>
      <c r="CF82" s="95">
        <f t="shared" si="1182"/>
        <v>-39600</v>
      </c>
      <c r="CG82" s="95">
        <f t="shared" si="1182"/>
        <v>-43200</v>
      </c>
      <c r="CH82" s="95">
        <f t="shared" si="1182"/>
        <v>-46800</v>
      </c>
      <c r="CI82" s="95">
        <f t="shared" si="1182"/>
        <v>-50400</v>
      </c>
      <c r="CJ82" s="95">
        <f t="shared" si="1182"/>
        <v>-54000</v>
      </c>
      <c r="CK82" s="95">
        <f t="shared" si="1182"/>
        <v>-57600</v>
      </c>
      <c r="CL82" s="95">
        <f t="shared" si="1182"/>
        <v>-61200</v>
      </c>
      <c r="CM82" s="95">
        <f t="shared" si="1182"/>
        <v>-64800</v>
      </c>
      <c r="CN82" s="95">
        <f t="shared" si="1182"/>
        <v>-68400</v>
      </c>
      <c r="CO82" s="95">
        <f t="shared" si="1182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83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84"/>
        <v>0</v>
      </c>
      <c r="DB82" s="62">
        <f t="shared" si="1185"/>
        <v>0</v>
      </c>
      <c r="DC82" s="62">
        <f t="shared" si="1186"/>
        <v>0</v>
      </c>
      <c r="DD82" s="102">
        <f t="shared" si="1187"/>
        <v>0</v>
      </c>
      <c r="DE82" s="31">
        <v>0</v>
      </c>
      <c r="DF82" s="31">
        <v>90</v>
      </c>
      <c r="DG82" s="31">
        <v>0</v>
      </c>
      <c r="DH82" s="48">
        <f t="shared" si="1188"/>
        <v>0</v>
      </c>
      <c r="DI82" s="62">
        <v>2377</v>
      </c>
      <c r="DJ82" s="62">
        <v>14277.04</v>
      </c>
      <c r="DK82" s="48">
        <f t="shared" si="1189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90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91"/>
        <v>0</v>
      </c>
      <c r="DV82" s="62">
        <v>2377</v>
      </c>
      <c r="DW82" s="62">
        <v>14277.216365969205</v>
      </c>
      <c r="DX82" s="62">
        <f t="shared" si="1192"/>
        <v>0</v>
      </c>
      <c r="DY82" s="62">
        <f t="shared" si="1193"/>
        <v>0</v>
      </c>
      <c r="DZ82" s="48">
        <f t="shared" si="1194"/>
        <v>0</v>
      </c>
      <c r="EA82" s="62">
        <f t="shared" si="1195"/>
        <v>0</v>
      </c>
      <c r="EB82" s="62">
        <f t="shared" si="1196"/>
        <v>0</v>
      </c>
      <c r="EC82" s="48">
        <f t="shared" si="1197"/>
        <v>0</v>
      </c>
      <c r="ED82" s="62">
        <f t="shared" si="1198"/>
        <v>16200</v>
      </c>
      <c r="EE82" s="62">
        <f t="shared" si="1199"/>
        <v>90072</v>
      </c>
      <c r="EF82" s="48">
        <f t="shared" si="1200"/>
        <v>0</v>
      </c>
      <c r="EG82" s="62">
        <f t="shared" si="1201"/>
        <v>0</v>
      </c>
      <c r="EH82" s="62">
        <f t="shared" si="1202"/>
        <v>0</v>
      </c>
      <c r="EI82" s="48">
        <f t="shared" si="1203"/>
        <v>0</v>
      </c>
      <c r="EJ82" s="62">
        <f t="shared" si="1204"/>
        <v>0</v>
      </c>
      <c r="EK82" s="62">
        <f t="shared" si="1205"/>
        <v>0</v>
      </c>
      <c r="EL82" s="48">
        <f t="shared" si="1206"/>
        <v>0</v>
      </c>
      <c r="EM82" s="62">
        <f t="shared" si="1207"/>
        <v>5400</v>
      </c>
      <c r="EN82" s="62">
        <f t="shared" si="1208"/>
        <v>30023.999999999996</v>
      </c>
      <c r="EO82" s="48">
        <f t="shared" si="1209"/>
        <v>0</v>
      </c>
      <c r="EP82" s="62">
        <f t="shared" si="1210"/>
        <v>0</v>
      </c>
      <c r="EQ82" s="62">
        <f t="shared" si="1210"/>
        <v>0</v>
      </c>
      <c r="ER82" s="62">
        <f t="shared" si="1210"/>
        <v>30023.999999999996</v>
      </c>
      <c r="ES82" s="62">
        <f t="shared" si="1210"/>
        <v>0</v>
      </c>
      <c r="ET82" s="62">
        <f t="shared" si="1210"/>
        <v>0</v>
      </c>
      <c r="EU82" s="62">
        <f t="shared" si="1210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211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 t="shared" si="1034"/>
        <v>1</v>
      </c>
      <c r="FS82" s="103" t="b">
        <f t="shared" si="1035"/>
        <v>0</v>
      </c>
      <c r="FT82" s="103" t="b">
        <f t="shared" si="1036"/>
        <v>1</v>
      </c>
      <c r="FU82" s="103" t="b">
        <f t="shared" si="1037"/>
        <v>0</v>
      </c>
      <c r="FV82" s="103" t="b">
        <f t="shared" si="1038"/>
        <v>1</v>
      </c>
      <c r="FW82" s="104" t="b">
        <f t="shared" si="1094"/>
        <v>0</v>
      </c>
      <c r="FX82" s="120" t="b">
        <f t="shared" si="1212"/>
        <v>1</v>
      </c>
      <c r="FY82" s="104" t="s">
        <v>214</v>
      </c>
      <c r="FZ82" s="104" t="b">
        <f t="shared" si="1213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14"/>
        <v>1</v>
      </c>
      <c r="GI82" s="8" t="b">
        <f t="shared" si="1215"/>
        <v>0</v>
      </c>
    </row>
    <row r="83" spans="1:191" s="31" customFormat="1" hidden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58"/>
        <v>нет минмакс</v>
      </c>
      <c r="Q83" s="95">
        <v>362</v>
      </c>
      <c r="R83" s="95">
        <f t="shared" si="1159"/>
        <v>7913.32</v>
      </c>
      <c r="S83" s="112">
        <v>685</v>
      </c>
      <c r="T83" s="112">
        <v>14974.1</v>
      </c>
      <c r="U83" s="112">
        <f t="shared" si="1160"/>
        <v>0</v>
      </c>
      <c r="V83" s="113">
        <f t="shared" si="1161"/>
        <v>362</v>
      </c>
      <c r="W83" s="113">
        <f t="shared" si="1162"/>
        <v>7913.32</v>
      </c>
      <c r="X83" s="113">
        <f t="shared" si="1163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64"/>
        <v>0</v>
      </c>
      <c r="AF83" s="95">
        <f t="shared" si="1165"/>
        <v>0</v>
      </c>
      <c r="AG83" s="114">
        <v>0</v>
      </c>
      <c r="AH83" s="95">
        <f t="shared" si="1166"/>
        <v>362</v>
      </c>
      <c r="AI83" s="115">
        <f t="shared" si="1167"/>
        <v>7913.32</v>
      </c>
      <c r="AJ83" s="95">
        <f t="shared" si="1168"/>
        <v>0</v>
      </c>
      <c r="AK83" s="95">
        <f t="shared" si="1169"/>
        <v>475</v>
      </c>
      <c r="AL83" s="95">
        <f t="shared" si="1170"/>
        <v>642</v>
      </c>
      <c r="AM83" s="95">
        <f t="shared" si="1171"/>
        <v>450</v>
      </c>
      <c r="AN83" s="95">
        <f t="shared" si="1172"/>
        <v>91.333333333333329</v>
      </c>
      <c r="AO83" s="95" t="str">
        <f t="shared" si="1173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74"/>
        <v>0-06</v>
      </c>
      <c r="AW83" s="117">
        <f t="shared" si="1175"/>
        <v>0</v>
      </c>
      <c r="AX83" s="118"/>
      <c r="AY83" s="25">
        <f t="shared" si="1176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77"/>
        <v>0</v>
      </c>
      <c r="BG83" s="29">
        <v>0</v>
      </c>
      <c r="BH83" s="29">
        <f t="shared" si="1178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79"/>
        <v>225</v>
      </c>
      <c r="BR83" s="95">
        <f t="shared" si="1180"/>
        <v>362</v>
      </c>
      <c r="BS83" s="95">
        <f t="shared" si="1181"/>
        <v>362</v>
      </c>
      <c r="BT83" s="95">
        <f t="shared" si="1181"/>
        <v>24.5</v>
      </c>
      <c r="BU83" s="95">
        <f t="shared" si="1181"/>
        <v>24.5</v>
      </c>
      <c r="BV83" s="95">
        <f t="shared" si="1181"/>
        <v>24.5</v>
      </c>
      <c r="BW83" s="95">
        <f t="shared" si="1181"/>
        <v>-88</v>
      </c>
      <c r="BX83" s="95">
        <f t="shared" si="1182"/>
        <v>-313</v>
      </c>
      <c r="BY83" s="95">
        <f t="shared" si="1182"/>
        <v>-538</v>
      </c>
      <c r="BZ83" s="95">
        <f t="shared" si="1182"/>
        <v>-763</v>
      </c>
      <c r="CA83" s="95">
        <f t="shared" si="1182"/>
        <v>-988</v>
      </c>
      <c r="CB83" s="95">
        <f t="shared" si="1182"/>
        <v>-1213</v>
      </c>
      <c r="CC83" s="95">
        <f t="shared" si="1182"/>
        <v>-1438</v>
      </c>
      <c r="CD83" s="95">
        <f t="shared" si="1182"/>
        <v>-1663</v>
      </c>
      <c r="CE83" s="95">
        <f t="shared" si="1182"/>
        <v>-1888</v>
      </c>
      <c r="CF83" s="95">
        <f t="shared" si="1182"/>
        <v>-2113</v>
      </c>
      <c r="CG83" s="95">
        <f t="shared" si="1182"/>
        <v>-2338</v>
      </c>
      <c r="CH83" s="95">
        <f t="shared" si="1182"/>
        <v>-2563</v>
      </c>
      <c r="CI83" s="95">
        <f t="shared" si="1182"/>
        <v>-2788</v>
      </c>
      <c r="CJ83" s="95">
        <f t="shared" si="1182"/>
        <v>-3013</v>
      </c>
      <c r="CK83" s="95">
        <f t="shared" si="1182"/>
        <v>-3238</v>
      </c>
      <c r="CL83" s="95">
        <f t="shared" si="1182"/>
        <v>-3463</v>
      </c>
      <c r="CM83" s="95">
        <f t="shared" si="1182"/>
        <v>-3688</v>
      </c>
      <c r="CN83" s="95">
        <f t="shared" si="1182"/>
        <v>-3913</v>
      </c>
      <c r="CO83" s="95">
        <f t="shared" si="1182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83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84"/>
        <v>0</v>
      </c>
      <c r="DB83" s="62">
        <f t="shared" si="1185"/>
        <v>0</v>
      </c>
      <c r="DC83" s="62">
        <f t="shared" si="1186"/>
        <v>0</v>
      </c>
      <c r="DD83" s="102">
        <f t="shared" si="1187"/>
        <v>0</v>
      </c>
      <c r="DE83" s="31">
        <v>0</v>
      </c>
      <c r="DF83" s="31">
        <v>90</v>
      </c>
      <c r="DG83" s="31">
        <v>0</v>
      </c>
      <c r="DH83" s="48">
        <f t="shared" si="1188"/>
        <v>0</v>
      </c>
      <c r="DI83" s="62">
        <v>337</v>
      </c>
      <c r="DJ83" s="62">
        <v>7785.55</v>
      </c>
      <c r="DK83" s="48">
        <f t="shared" si="1189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90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91"/>
        <v>0</v>
      </c>
      <c r="DV83" s="62">
        <v>152</v>
      </c>
      <c r="DW83" s="62">
        <v>3511.58</v>
      </c>
      <c r="DX83" s="62">
        <f t="shared" si="1192"/>
        <v>0</v>
      </c>
      <c r="DY83" s="62">
        <f t="shared" si="1193"/>
        <v>0</v>
      </c>
      <c r="DZ83" s="48">
        <f t="shared" si="1194"/>
        <v>0</v>
      </c>
      <c r="EA83" s="62">
        <f t="shared" si="1195"/>
        <v>0</v>
      </c>
      <c r="EB83" s="62">
        <f t="shared" si="1196"/>
        <v>0</v>
      </c>
      <c r="EC83" s="48">
        <f t="shared" si="1197"/>
        <v>0</v>
      </c>
      <c r="ED83" s="62">
        <f t="shared" si="1198"/>
        <v>1012.5</v>
      </c>
      <c r="EE83" s="62">
        <f t="shared" si="1199"/>
        <v>22133.25</v>
      </c>
      <c r="EF83" s="48">
        <f t="shared" si="1200"/>
        <v>0</v>
      </c>
      <c r="EG83" s="62">
        <f t="shared" si="1201"/>
        <v>0</v>
      </c>
      <c r="EH83" s="62">
        <f t="shared" si="1202"/>
        <v>0</v>
      </c>
      <c r="EI83" s="48">
        <f t="shared" si="1203"/>
        <v>0</v>
      </c>
      <c r="EJ83" s="62">
        <f t="shared" si="1204"/>
        <v>0</v>
      </c>
      <c r="EK83" s="62">
        <f t="shared" si="1205"/>
        <v>0</v>
      </c>
      <c r="EL83" s="48">
        <f t="shared" si="1206"/>
        <v>0</v>
      </c>
      <c r="EM83" s="62">
        <f t="shared" si="1207"/>
        <v>337.5</v>
      </c>
      <c r="EN83" s="62">
        <f t="shared" si="1208"/>
        <v>7377.75</v>
      </c>
      <c r="EO83" s="48">
        <f t="shared" si="1209"/>
        <v>0</v>
      </c>
      <c r="EP83" s="62">
        <f t="shared" si="1210"/>
        <v>0</v>
      </c>
      <c r="EQ83" s="62">
        <f t="shared" si="1210"/>
        <v>0</v>
      </c>
      <c r="ER83" s="62">
        <f t="shared" si="1210"/>
        <v>7377.75</v>
      </c>
      <c r="ES83" s="62">
        <f t="shared" si="1210"/>
        <v>0</v>
      </c>
      <c r="ET83" s="62">
        <f t="shared" si="1210"/>
        <v>0</v>
      </c>
      <c r="EU83" s="62">
        <f t="shared" si="1210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211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 t="shared" si="1034"/>
        <v>1</v>
      </c>
      <c r="FS83" s="103" t="b">
        <f t="shared" si="1035"/>
        <v>0</v>
      </c>
      <c r="FT83" s="103" t="b">
        <f t="shared" si="1036"/>
        <v>1</v>
      </c>
      <c r="FU83" s="103" t="b">
        <f t="shared" si="1037"/>
        <v>0</v>
      </c>
      <c r="FV83" s="103" t="b">
        <f t="shared" si="1038"/>
        <v>1</v>
      </c>
      <c r="FW83" s="104" t="b">
        <f t="shared" si="1094"/>
        <v>0</v>
      </c>
      <c r="FX83" s="120" t="b">
        <f t="shared" si="1212"/>
        <v>1</v>
      </c>
      <c r="FY83" s="104" t="s">
        <v>214</v>
      </c>
      <c r="FZ83" s="104" t="b">
        <f t="shared" si="1213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14"/>
        <v>1</v>
      </c>
      <c r="GI83" s="8" t="b">
        <f t="shared" si="1215"/>
        <v>0</v>
      </c>
    </row>
    <row r="84" spans="1:191" s="31" customFormat="1" hidden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16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17">Q84*FH84</f>
        <v>0</v>
      </c>
      <c r="S84" s="94">
        <v>40</v>
      </c>
      <c r="T84" s="94">
        <v>39136.400000000001</v>
      </c>
      <c r="U84" s="94">
        <f t="shared" ref="U84:U87" si="1218">IFERROR(ROUNDUP(S84/$EX84,0)*$EY84,0)</f>
        <v>1</v>
      </c>
      <c r="V84" s="94">
        <f t="shared" ref="V84:V87" si="1219">SUM(Z84:AD84)</f>
        <v>0</v>
      </c>
      <c r="W84" s="94">
        <f t="shared" ref="W84:W87" si="1220">V84*FH84</f>
        <v>0</v>
      </c>
      <c r="X84" s="94">
        <f t="shared" ref="X84:X87" si="1221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22">AA84*FH84</f>
        <v>0</v>
      </c>
      <c r="AF84" s="95">
        <f t="shared" ref="AF84:AF87" si="1223">AB84*FH84</f>
        <v>0</v>
      </c>
      <c r="AG84" s="96">
        <v>0</v>
      </c>
      <c r="AH84" s="95">
        <f t="shared" ref="AH84:AH87" si="1224">V84-AG84</f>
        <v>0</v>
      </c>
      <c r="AI84" s="94">
        <f t="shared" ref="AI84:AI87" si="1225">IF(AH84&gt;0,AH84*FH84,0)</f>
        <v>0</v>
      </c>
      <c r="AJ84" s="94">
        <f t="shared" ref="AJ84:AJ87" si="1226">CU84</f>
        <v>0</v>
      </c>
      <c r="AK84" s="94">
        <f t="shared" ref="AK84:AK88" si="1227">SUM(CS84:CU84)</f>
        <v>40</v>
      </c>
      <c r="AL84" s="94">
        <f t="shared" ref="AL84:AL87" si="1228">SUM(CP84:CU84)</f>
        <v>1040</v>
      </c>
      <c r="AM84" s="94">
        <f t="shared" ref="AM84:AM87" si="1229">SUM(BK84:BP84)</f>
        <v>1600</v>
      </c>
      <c r="AN84" s="94">
        <f t="shared" ref="AN84:AN87" si="1230">IFERROR(S84/BQ84*30,"нет оборота")</f>
        <v>3</v>
      </c>
      <c r="AO84" s="94" t="str">
        <f t="shared" ref="AO84:AO87" si="1231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32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33">IF(AT84="Да",W84,0)</f>
        <v>0</v>
      </c>
      <c r="AX84" s="93"/>
      <c r="AY84" s="94">
        <f t="shared" ref="AY84:AY87" si="1234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35">BE84*FH84</f>
        <v>0</v>
      </c>
      <c r="BG84" s="29">
        <v>0</v>
      </c>
      <c r="BH84" s="29">
        <f t="shared" ref="BH84:BH87" si="1236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37">IF(COUNTIF(BK84:BP84,"&gt;0")=0,0,SUM(BK84:BP84)/COUNTIF(BK84:BP84,"&gt;0"))</f>
        <v>400</v>
      </c>
      <c r="BR84" s="95">
        <f t="shared" ref="BR84:BR87" si="1238">IF(OR(Q84=0,SUM(BK84:BP84)=0,V84&gt;Q84),V84-BK84,Q84-BK84)</f>
        <v>-400</v>
      </c>
      <c r="BS84" s="95">
        <f t="shared" ref="BS84:BW87" si="1239">BR84-BL84</f>
        <v>-400</v>
      </c>
      <c r="BT84" s="95">
        <f t="shared" si="1239"/>
        <v>-400</v>
      </c>
      <c r="BU84" s="95">
        <f t="shared" si="1239"/>
        <v>-800</v>
      </c>
      <c r="BV84" s="95">
        <f t="shared" si="1239"/>
        <v>-1200</v>
      </c>
      <c r="BW84" s="95">
        <f t="shared" si="1239"/>
        <v>-1600</v>
      </c>
      <c r="BX84" s="95">
        <f t="shared" ref="BX84:CO87" si="1240">BW84-$BQ84</f>
        <v>-2000</v>
      </c>
      <c r="BY84" s="95">
        <f t="shared" si="1240"/>
        <v>-2400</v>
      </c>
      <c r="BZ84" s="95">
        <f t="shared" si="1240"/>
        <v>-2800</v>
      </c>
      <c r="CA84" s="95">
        <f t="shared" si="1240"/>
        <v>-3200</v>
      </c>
      <c r="CB84" s="95">
        <f t="shared" si="1240"/>
        <v>-3600</v>
      </c>
      <c r="CC84" s="95">
        <f t="shared" si="1240"/>
        <v>-4000</v>
      </c>
      <c r="CD84" s="95">
        <f t="shared" si="1240"/>
        <v>-4400</v>
      </c>
      <c r="CE84" s="95">
        <f t="shared" si="1240"/>
        <v>-4800</v>
      </c>
      <c r="CF84" s="95">
        <f t="shared" si="1240"/>
        <v>-5200</v>
      </c>
      <c r="CG84" s="95">
        <f t="shared" si="1240"/>
        <v>-5600</v>
      </c>
      <c r="CH84" s="95">
        <f t="shared" si="1240"/>
        <v>-6000</v>
      </c>
      <c r="CI84" s="95">
        <f t="shared" si="1240"/>
        <v>-6400</v>
      </c>
      <c r="CJ84" s="95">
        <f t="shared" si="1240"/>
        <v>-6800</v>
      </c>
      <c r="CK84" s="95">
        <f t="shared" si="1240"/>
        <v>-7200</v>
      </c>
      <c r="CL84" s="95">
        <f t="shared" si="1240"/>
        <v>-7600</v>
      </c>
      <c r="CM84" s="95">
        <f t="shared" si="1240"/>
        <v>-8000</v>
      </c>
      <c r="CN84" s="95">
        <f t="shared" si="1240"/>
        <v>-8400</v>
      </c>
      <c r="CO84" s="95">
        <f t="shared" si="1240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41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42">IFERROR(CZ84/CY84,0)</f>
        <v>0</v>
      </c>
      <c r="DB84" s="62">
        <f t="shared" ref="DB84:DB87" si="1243">CY84*FH84</f>
        <v>1174092</v>
      </c>
      <c r="DC84" s="62">
        <f t="shared" ref="DC84:DC87" si="1244">CZ84*FH84</f>
        <v>0</v>
      </c>
      <c r="DD84" s="102">
        <f t="shared" ref="DD84:DD87" si="1245">IFERROR(DC84/DB84,0)</f>
        <v>0</v>
      </c>
      <c r="DE84" s="31">
        <v>0</v>
      </c>
      <c r="DG84" s="31">
        <v>0</v>
      </c>
      <c r="DH84" s="48">
        <f t="shared" ref="DH84:DH87" si="1246">IFERROR(ROUNDUP(DG84/$EX84,0)*$EY84,0)</f>
        <v>0</v>
      </c>
      <c r="DI84" s="62">
        <v>301.935</v>
      </c>
      <c r="DJ84" s="62">
        <v>295417.90999999997</v>
      </c>
      <c r="DK84" s="48">
        <f t="shared" ref="DK84:DK87" si="1247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48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49">IFERROR(ROUNDUP(DS84/$EX84,0)*$EY84,0)</f>
        <v>1</v>
      </c>
      <c r="DV84" s="62">
        <v>0</v>
      </c>
      <c r="DW84" s="62">
        <v>0</v>
      </c>
      <c r="DX84" s="62">
        <f t="shared" ref="DX84:DX87" si="1250">$DF84*BK84/30</f>
        <v>0</v>
      </c>
      <c r="DY84" s="62">
        <f t="shared" ref="DY84:DY87" si="1251">DX84*$FH84</f>
        <v>0</v>
      </c>
      <c r="DZ84" s="48">
        <f t="shared" ref="DZ84:DZ87" si="1252">IFERROR(ROUNDUP(DX84/$EX84,0)*$EY84,0)</f>
        <v>0</v>
      </c>
      <c r="EA84" s="62">
        <f t="shared" ref="EA84:EA87" si="1253">$DF84*BL84/30</f>
        <v>0</v>
      </c>
      <c r="EB84" s="62">
        <f t="shared" ref="EB84:EB87" si="1254">EA84*$FH84</f>
        <v>0</v>
      </c>
      <c r="EC84" s="48">
        <f t="shared" ref="EC84:EC87" si="1255">IFERROR(ROUNDUP(EA84/$EX84,0)*$EY84,0)</f>
        <v>0</v>
      </c>
      <c r="ED84" s="62">
        <f t="shared" ref="ED84:ED87" si="1256">$DF84*BM84/30</f>
        <v>0</v>
      </c>
      <c r="EE84" s="62">
        <f t="shared" ref="EE84:EE87" si="1257">ED84*$FH84</f>
        <v>0</v>
      </c>
      <c r="EF84" s="48">
        <f t="shared" ref="EF84:EF87" si="1258">IFERROR(ROUNDUP(ED84/$EX84,0)*$EY84,0)</f>
        <v>0</v>
      </c>
      <c r="EG84" s="62">
        <f t="shared" ref="EG84:EG87" si="1259">$DF84*BN84/30</f>
        <v>0</v>
      </c>
      <c r="EH84" s="62">
        <f t="shared" ref="EH84:EH87" si="1260">EG84*$FH84</f>
        <v>0</v>
      </c>
      <c r="EI84" s="48">
        <f t="shared" ref="EI84:EI87" si="1261">IFERROR(ROUNDUP(EG84/$EX84,0)*$EY84,0)</f>
        <v>0</v>
      </c>
      <c r="EJ84" s="62">
        <f t="shared" ref="EJ84:EJ87" si="1262">$DF84*BO84/30</f>
        <v>0</v>
      </c>
      <c r="EK84" s="62">
        <f t="shared" ref="EK84:EK87" si="1263">EJ84*$FH84</f>
        <v>0</v>
      </c>
      <c r="EL84" s="48">
        <f t="shared" ref="EL84:EL87" si="1264">IFERROR(ROUNDUP(EJ84/$EX84,0)*$EY84,0)</f>
        <v>0</v>
      </c>
      <c r="EM84" s="62">
        <f t="shared" ref="EM84:EM87" si="1265">$DF84*BP84/30</f>
        <v>0</v>
      </c>
      <c r="EN84" s="62">
        <f t="shared" ref="EN84:EN87" si="1266">EM84*$FH84</f>
        <v>0</v>
      </c>
      <c r="EO84" s="48">
        <f t="shared" ref="EO84:EO87" si="1267">IFERROR(ROUNDUP(EM84/$EX84,0)*$EY84,0)</f>
        <v>0</v>
      </c>
      <c r="EP84" s="62">
        <f t="shared" ref="EP84:ER87" si="1268">BK84*$FH84</f>
        <v>391364</v>
      </c>
      <c r="EQ84" s="62">
        <f t="shared" si="1268"/>
        <v>0</v>
      </c>
      <c r="ER84" s="62">
        <f t="shared" si="1268"/>
        <v>0</v>
      </c>
      <c r="ES84" s="62">
        <f t="shared" ref="ES84:EU87" si="1269">BN84*$FH84</f>
        <v>391364</v>
      </c>
      <c r="ET84" s="62">
        <f t="shared" si="1269"/>
        <v>391364</v>
      </c>
      <c r="EU84" s="62">
        <f t="shared" si="1269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70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 t="shared" si="1034"/>
        <v>1</v>
      </c>
      <c r="FS84" s="104" t="b">
        <f t="shared" si="1035"/>
        <v>1</v>
      </c>
      <c r="FT84" s="104" t="b">
        <f t="shared" si="1036"/>
        <v>1</v>
      </c>
      <c r="FU84" s="104" t="b">
        <f t="shared" si="1037"/>
        <v>0</v>
      </c>
      <c r="FV84" s="104" t="b">
        <f t="shared" si="1038"/>
        <v>1</v>
      </c>
      <c r="FW84" s="104" t="b">
        <f t="shared" si="1094"/>
        <v>0</v>
      </c>
      <c r="FX84" s="104" t="b">
        <f t="shared" ref="FX84:FX87" si="1271">EXACT(FQ84,BI84)</f>
        <v>1</v>
      </c>
      <c r="FY84" s="104" t="s">
        <v>214</v>
      </c>
      <c r="FZ84" s="104" t="b">
        <f t="shared" ref="FZ84:FZ87" si="1272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73">EXACT(GD84,C84)</f>
        <v>1</v>
      </c>
      <c r="GI84" s="108" t="b">
        <f t="shared" ref="GI84:GI87" si="1274">EXACT(GG84,G84)</f>
        <v>0</v>
      </c>
    </row>
    <row r="85" spans="1:191" s="31" customFormat="1" ht="30" hidden="1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16"/>
        <v>нет минмакс</v>
      </c>
      <c r="Q85" s="95">
        <v>3960</v>
      </c>
      <c r="R85" s="95">
        <f t="shared" si="1217"/>
        <v>75952.800000000003</v>
      </c>
      <c r="S85" s="112">
        <v>3960</v>
      </c>
      <c r="T85" s="112">
        <v>75952.800000000003</v>
      </c>
      <c r="U85" s="112">
        <f t="shared" si="1218"/>
        <v>0</v>
      </c>
      <c r="V85" s="113">
        <f t="shared" si="1219"/>
        <v>3960</v>
      </c>
      <c r="W85" s="113">
        <f t="shared" si="1220"/>
        <v>75952.800000000003</v>
      </c>
      <c r="X85" s="113">
        <f t="shared" si="1221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22"/>
        <v>0</v>
      </c>
      <c r="AF85" s="95">
        <f t="shared" si="1223"/>
        <v>0</v>
      </c>
      <c r="AG85" s="114">
        <v>0</v>
      </c>
      <c r="AH85" s="95">
        <f t="shared" si="1224"/>
        <v>3960</v>
      </c>
      <c r="AI85" s="115">
        <f t="shared" si="1225"/>
        <v>75952.800000000003</v>
      </c>
      <c r="AJ85" s="95">
        <f t="shared" si="1226"/>
        <v>0</v>
      </c>
      <c r="AK85" s="95">
        <f t="shared" si="1227"/>
        <v>0</v>
      </c>
      <c r="AL85" s="95">
        <f t="shared" si="1228"/>
        <v>1040</v>
      </c>
      <c r="AM85" s="95">
        <f t="shared" si="1229"/>
        <v>1840</v>
      </c>
      <c r="AN85" s="95">
        <f t="shared" si="1230"/>
        <v>129.13043478260869</v>
      </c>
      <c r="AO85" s="95" t="str">
        <f t="shared" si="1231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32"/>
        <v>0-09</v>
      </c>
      <c r="AW85" s="117">
        <f t="shared" si="1233"/>
        <v>75952.800000000003</v>
      </c>
      <c r="AX85" s="14">
        <f t="shared" ref="AX85:AX86" si="1275">MONTH(BC85)-6</f>
        <v>4</v>
      </c>
      <c r="AY85" s="25">
        <f t="shared" si="1234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35"/>
        <v>0</v>
      </c>
      <c r="BG85" s="29">
        <v>0</v>
      </c>
      <c r="BH85" s="29">
        <f t="shared" si="1236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37"/>
        <v>920</v>
      </c>
      <c r="BR85" s="95">
        <f t="shared" si="1238"/>
        <v>2520</v>
      </c>
      <c r="BS85" s="95">
        <f t="shared" si="1239"/>
        <v>2520</v>
      </c>
      <c r="BT85" s="95">
        <f t="shared" si="1239"/>
        <v>2520</v>
      </c>
      <c r="BU85" s="95">
        <f t="shared" si="1239"/>
        <v>2520</v>
      </c>
      <c r="BV85" s="95">
        <f t="shared" si="1239"/>
        <v>2520</v>
      </c>
      <c r="BW85" s="95">
        <f t="shared" si="1239"/>
        <v>2120</v>
      </c>
      <c r="BX85" s="95">
        <f t="shared" si="1240"/>
        <v>1200</v>
      </c>
      <c r="BY85" s="95">
        <f t="shared" si="1240"/>
        <v>280</v>
      </c>
      <c r="BZ85" s="95">
        <f t="shared" si="1240"/>
        <v>-640</v>
      </c>
      <c r="CA85" s="95">
        <f t="shared" si="1240"/>
        <v>-1560</v>
      </c>
      <c r="CB85" s="95">
        <f t="shared" si="1240"/>
        <v>-2480</v>
      </c>
      <c r="CC85" s="95">
        <f t="shared" si="1240"/>
        <v>-3400</v>
      </c>
      <c r="CD85" s="95">
        <f t="shared" si="1240"/>
        <v>-4320</v>
      </c>
      <c r="CE85" s="95">
        <f t="shared" si="1240"/>
        <v>-5240</v>
      </c>
      <c r="CF85" s="95">
        <f t="shared" si="1240"/>
        <v>-6160</v>
      </c>
      <c r="CG85" s="95">
        <f t="shared" si="1240"/>
        <v>-7080</v>
      </c>
      <c r="CH85" s="95">
        <f t="shared" si="1240"/>
        <v>-8000</v>
      </c>
      <c r="CI85" s="95">
        <f t="shared" si="1240"/>
        <v>-8920</v>
      </c>
      <c r="CJ85" s="95">
        <f t="shared" si="1240"/>
        <v>-9840</v>
      </c>
      <c r="CK85" s="95">
        <f t="shared" si="1240"/>
        <v>-10760</v>
      </c>
      <c r="CL85" s="95">
        <f t="shared" si="1240"/>
        <v>-11680</v>
      </c>
      <c r="CM85" s="95">
        <f t="shared" si="1240"/>
        <v>-12600</v>
      </c>
      <c r="CN85" s="95">
        <f t="shared" si="1240"/>
        <v>-13520</v>
      </c>
      <c r="CO85" s="95">
        <f t="shared" si="1240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41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42"/>
        <v>0</v>
      </c>
      <c r="DB85" s="62">
        <f t="shared" si="1243"/>
        <v>0</v>
      </c>
      <c r="DC85" s="62">
        <f t="shared" si="1244"/>
        <v>0</v>
      </c>
      <c r="DD85" s="102">
        <f t="shared" si="1245"/>
        <v>0</v>
      </c>
      <c r="DE85" s="31">
        <v>0</v>
      </c>
      <c r="DF85" s="31">
        <v>90</v>
      </c>
      <c r="DG85" s="31">
        <v>0</v>
      </c>
      <c r="DH85" s="48">
        <f t="shared" si="1246"/>
        <v>0</v>
      </c>
      <c r="DI85" s="62">
        <v>4698.0649999999996</v>
      </c>
      <c r="DJ85" s="62">
        <v>90094.584999999992</v>
      </c>
      <c r="DK85" s="48">
        <f t="shared" si="1247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48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49"/>
        <v>0</v>
      </c>
      <c r="DV85" s="62">
        <v>0</v>
      </c>
      <c r="DW85" s="62">
        <v>0</v>
      </c>
      <c r="DX85" s="62">
        <f t="shared" si="1250"/>
        <v>4320</v>
      </c>
      <c r="DY85" s="62">
        <f t="shared" si="1251"/>
        <v>82857.600000000006</v>
      </c>
      <c r="DZ85" s="48">
        <f t="shared" si="1252"/>
        <v>0</v>
      </c>
      <c r="EA85" s="62">
        <f t="shared" si="1253"/>
        <v>0</v>
      </c>
      <c r="EB85" s="62">
        <f t="shared" si="1254"/>
        <v>0</v>
      </c>
      <c r="EC85" s="48">
        <f t="shared" si="1255"/>
        <v>0</v>
      </c>
      <c r="ED85" s="62">
        <f t="shared" si="1256"/>
        <v>0</v>
      </c>
      <c r="EE85" s="62">
        <f t="shared" si="1257"/>
        <v>0</v>
      </c>
      <c r="EF85" s="48">
        <f t="shared" si="1258"/>
        <v>0</v>
      </c>
      <c r="EG85" s="62">
        <f t="shared" si="1259"/>
        <v>0</v>
      </c>
      <c r="EH85" s="62">
        <f t="shared" si="1260"/>
        <v>0</v>
      </c>
      <c r="EI85" s="48">
        <f t="shared" si="1261"/>
        <v>0</v>
      </c>
      <c r="EJ85" s="62">
        <f t="shared" si="1262"/>
        <v>0</v>
      </c>
      <c r="EK85" s="62">
        <f t="shared" si="1263"/>
        <v>0</v>
      </c>
      <c r="EL85" s="48">
        <f t="shared" si="1264"/>
        <v>0</v>
      </c>
      <c r="EM85" s="62">
        <f t="shared" si="1265"/>
        <v>1200</v>
      </c>
      <c r="EN85" s="62">
        <f t="shared" si="1266"/>
        <v>23016</v>
      </c>
      <c r="EO85" s="48">
        <f t="shared" si="1267"/>
        <v>0</v>
      </c>
      <c r="EP85" s="62">
        <f t="shared" si="1268"/>
        <v>27619.200000000001</v>
      </c>
      <c r="EQ85" s="62">
        <f t="shared" si="1268"/>
        <v>0</v>
      </c>
      <c r="ER85" s="62">
        <f t="shared" si="1268"/>
        <v>0</v>
      </c>
      <c r="ES85" s="62">
        <f t="shared" si="1269"/>
        <v>0</v>
      </c>
      <c r="ET85" s="62">
        <f t="shared" si="1269"/>
        <v>0</v>
      </c>
      <c r="EU85" s="62">
        <f t="shared" si="1269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70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 t="shared" si="1034"/>
        <v>1</v>
      </c>
      <c r="FS85" s="103" t="b">
        <f t="shared" si="1035"/>
        <v>1</v>
      </c>
      <c r="FT85" s="103" t="b">
        <f t="shared" si="1036"/>
        <v>1</v>
      </c>
      <c r="FU85" s="103" t="b">
        <f t="shared" si="1037"/>
        <v>0</v>
      </c>
      <c r="FV85" s="103" t="b">
        <f t="shared" si="1038"/>
        <v>1</v>
      </c>
      <c r="FW85" s="104" t="b">
        <f t="shared" si="1094"/>
        <v>0</v>
      </c>
      <c r="FX85" s="120" t="b">
        <f t="shared" si="1271"/>
        <v>1</v>
      </c>
      <c r="FY85" s="104" t="s">
        <v>214</v>
      </c>
      <c r="FZ85" s="104" t="b">
        <f t="shared" si="1272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73"/>
        <v>1</v>
      </c>
      <c r="GI85" s="8" t="b">
        <f t="shared" si="1274"/>
        <v>0</v>
      </c>
    </row>
    <row r="86" spans="1:191" s="31" customFormat="1" ht="30" hidden="1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16"/>
        <v>нет минмакс</v>
      </c>
      <c r="Q86" s="95">
        <v>3910</v>
      </c>
      <c r="R86" s="95">
        <f t="shared" si="1217"/>
        <v>74993.8</v>
      </c>
      <c r="S86" s="112">
        <v>3910</v>
      </c>
      <c r="T86" s="112">
        <v>74993.8</v>
      </c>
      <c r="U86" s="112">
        <f t="shared" si="1218"/>
        <v>0</v>
      </c>
      <c r="V86" s="113">
        <f t="shared" si="1219"/>
        <v>3910</v>
      </c>
      <c r="W86" s="113">
        <f t="shared" si="1220"/>
        <v>74993.8</v>
      </c>
      <c r="X86" s="113">
        <f t="shared" si="1221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22"/>
        <v>0</v>
      </c>
      <c r="AF86" s="95">
        <f t="shared" si="1223"/>
        <v>0</v>
      </c>
      <c r="AG86" s="114">
        <v>0</v>
      </c>
      <c r="AH86" s="95">
        <f t="shared" si="1224"/>
        <v>3910</v>
      </c>
      <c r="AI86" s="115">
        <f t="shared" si="1225"/>
        <v>74993.8</v>
      </c>
      <c r="AJ86" s="95">
        <f t="shared" si="1226"/>
        <v>0</v>
      </c>
      <c r="AK86" s="95">
        <f t="shared" si="1227"/>
        <v>0</v>
      </c>
      <c r="AL86" s="95">
        <f t="shared" si="1228"/>
        <v>1090</v>
      </c>
      <c r="AM86" s="95">
        <f t="shared" si="1229"/>
        <v>1840</v>
      </c>
      <c r="AN86" s="95">
        <f t="shared" si="1230"/>
        <v>127.5</v>
      </c>
      <c r="AO86" s="95" t="str">
        <f t="shared" si="1231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32"/>
        <v>0-09</v>
      </c>
      <c r="AW86" s="117">
        <f t="shared" si="1233"/>
        <v>74993.8</v>
      </c>
      <c r="AX86" s="14">
        <f t="shared" si="1275"/>
        <v>4</v>
      </c>
      <c r="AY86" s="25">
        <f t="shared" si="1234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35"/>
        <v>0</v>
      </c>
      <c r="BG86" s="29">
        <v>0</v>
      </c>
      <c r="BH86" s="29">
        <f t="shared" si="1236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37"/>
        <v>920</v>
      </c>
      <c r="BR86" s="95">
        <f t="shared" si="1238"/>
        <v>2470</v>
      </c>
      <c r="BS86" s="95">
        <f t="shared" si="1239"/>
        <v>2470</v>
      </c>
      <c r="BT86" s="95">
        <f t="shared" si="1239"/>
        <v>2470</v>
      </c>
      <c r="BU86" s="95">
        <f t="shared" si="1239"/>
        <v>2470</v>
      </c>
      <c r="BV86" s="95">
        <f t="shared" si="1239"/>
        <v>2470</v>
      </c>
      <c r="BW86" s="95">
        <f t="shared" si="1239"/>
        <v>2070</v>
      </c>
      <c r="BX86" s="95">
        <f t="shared" si="1240"/>
        <v>1150</v>
      </c>
      <c r="BY86" s="95">
        <f t="shared" si="1240"/>
        <v>230</v>
      </c>
      <c r="BZ86" s="95">
        <f t="shared" si="1240"/>
        <v>-690</v>
      </c>
      <c r="CA86" s="95">
        <f t="shared" si="1240"/>
        <v>-1610</v>
      </c>
      <c r="CB86" s="95">
        <f t="shared" si="1240"/>
        <v>-2530</v>
      </c>
      <c r="CC86" s="95">
        <f t="shared" si="1240"/>
        <v>-3450</v>
      </c>
      <c r="CD86" s="95">
        <f t="shared" si="1240"/>
        <v>-4370</v>
      </c>
      <c r="CE86" s="95">
        <f t="shared" si="1240"/>
        <v>-5290</v>
      </c>
      <c r="CF86" s="95">
        <f t="shared" si="1240"/>
        <v>-6210</v>
      </c>
      <c r="CG86" s="95">
        <f t="shared" si="1240"/>
        <v>-7130</v>
      </c>
      <c r="CH86" s="95">
        <f t="shared" si="1240"/>
        <v>-8050</v>
      </c>
      <c r="CI86" s="95">
        <f t="shared" si="1240"/>
        <v>-8970</v>
      </c>
      <c r="CJ86" s="95">
        <f t="shared" si="1240"/>
        <v>-9890</v>
      </c>
      <c r="CK86" s="95">
        <f t="shared" si="1240"/>
        <v>-10810</v>
      </c>
      <c r="CL86" s="95">
        <f t="shared" si="1240"/>
        <v>-11730</v>
      </c>
      <c r="CM86" s="95">
        <f t="shared" si="1240"/>
        <v>-12650</v>
      </c>
      <c r="CN86" s="95">
        <f t="shared" si="1240"/>
        <v>-13570</v>
      </c>
      <c r="CO86" s="95">
        <f t="shared" si="1240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41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42"/>
        <v>0</v>
      </c>
      <c r="DB86" s="62">
        <f t="shared" si="1243"/>
        <v>0</v>
      </c>
      <c r="DC86" s="62">
        <f t="shared" si="1244"/>
        <v>0</v>
      </c>
      <c r="DD86" s="102">
        <f t="shared" si="1245"/>
        <v>0</v>
      </c>
      <c r="DE86" s="31">
        <v>0</v>
      </c>
      <c r="DF86" s="31">
        <v>90</v>
      </c>
      <c r="DG86" s="31">
        <v>0</v>
      </c>
      <c r="DH86" s="48">
        <f t="shared" si="1246"/>
        <v>0</v>
      </c>
      <c r="DI86" s="62">
        <v>4698.0649999999996</v>
      </c>
      <c r="DJ86" s="62">
        <v>90094.584999999992</v>
      </c>
      <c r="DK86" s="48">
        <f t="shared" si="1247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48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49"/>
        <v>0</v>
      </c>
      <c r="DV86" s="62">
        <v>0</v>
      </c>
      <c r="DW86" s="62">
        <v>0</v>
      </c>
      <c r="DX86" s="62">
        <f t="shared" si="1250"/>
        <v>4320</v>
      </c>
      <c r="DY86" s="62">
        <f t="shared" si="1251"/>
        <v>82857.600000000006</v>
      </c>
      <c r="DZ86" s="48">
        <f t="shared" si="1252"/>
        <v>0</v>
      </c>
      <c r="EA86" s="62">
        <f t="shared" si="1253"/>
        <v>0</v>
      </c>
      <c r="EB86" s="62">
        <f t="shared" si="1254"/>
        <v>0</v>
      </c>
      <c r="EC86" s="48">
        <f t="shared" si="1255"/>
        <v>0</v>
      </c>
      <c r="ED86" s="62">
        <f t="shared" si="1256"/>
        <v>0</v>
      </c>
      <c r="EE86" s="62">
        <f t="shared" si="1257"/>
        <v>0</v>
      </c>
      <c r="EF86" s="48">
        <f t="shared" si="1258"/>
        <v>0</v>
      </c>
      <c r="EG86" s="62">
        <f t="shared" si="1259"/>
        <v>0</v>
      </c>
      <c r="EH86" s="62">
        <f t="shared" si="1260"/>
        <v>0</v>
      </c>
      <c r="EI86" s="48">
        <f t="shared" si="1261"/>
        <v>0</v>
      </c>
      <c r="EJ86" s="62">
        <f t="shared" si="1262"/>
        <v>0</v>
      </c>
      <c r="EK86" s="62">
        <f t="shared" si="1263"/>
        <v>0</v>
      </c>
      <c r="EL86" s="48">
        <f t="shared" si="1264"/>
        <v>0</v>
      </c>
      <c r="EM86" s="62">
        <f t="shared" si="1265"/>
        <v>1200</v>
      </c>
      <c r="EN86" s="62">
        <f t="shared" si="1266"/>
        <v>23016</v>
      </c>
      <c r="EO86" s="48">
        <f t="shared" si="1267"/>
        <v>0</v>
      </c>
      <c r="EP86" s="62">
        <f t="shared" si="1268"/>
        <v>27619.200000000001</v>
      </c>
      <c r="EQ86" s="62">
        <f t="shared" si="1268"/>
        <v>0</v>
      </c>
      <c r="ER86" s="62">
        <f t="shared" si="1268"/>
        <v>0</v>
      </c>
      <c r="ES86" s="62">
        <f t="shared" si="1269"/>
        <v>0</v>
      </c>
      <c r="ET86" s="62">
        <f t="shared" si="1269"/>
        <v>0</v>
      </c>
      <c r="EU86" s="62">
        <f t="shared" si="1269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70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 t="shared" si="1034"/>
        <v>1</v>
      </c>
      <c r="FS86" s="103" t="b">
        <f t="shared" si="1035"/>
        <v>1</v>
      </c>
      <c r="FT86" s="103" t="b">
        <f t="shared" si="1036"/>
        <v>1</v>
      </c>
      <c r="FU86" s="103" t="b">
        <f t="shared" si="1037"/>
        <v>0</v>
      </c>
      <c r="FV86" s="103" t="b">
        <f t="shared" si="1038"/>
        <v>1</v>
      </c>
      <c r="FW86" s="104" t="b">
        <f t="shared" si="1094"/>
        <v>0</v>
      </c>
      <c r="FX86" s="120" t="b">
        <f t="shared" si="1271"/>
        <v>1</v>
      </c>
      <c r="FY86" s="104" t="s">
        <v>214</v>
      </c>
      <c r="FZ86" s="104" t="b">
        <f t="shared" si="1272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73"/>
        <v>1</v>
      </c>
      <c r="GI86" s="8" t="b">
        <f t="shared" si="1274"/>
        <v>0</v>
      </c>
    </row>
    <row r="87" spans="1:191" s="31" customFormat="1" hidden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16"/>
        <v>нет минмакс</v>
      </c>
      <c r="Q87" s="95">
        <v>239</v>
      </c>
      <c r="R87" s="95">
        <f t="shared" si="1217"/>
        <v>5774.24</v>
      </c>
      <c r="S87" s="112">
        <v>239</v>
      </c>
      <c r="T87" s="112">
        <v>5774.24</v>
      </c>
      <c r="U87" s="112">
        <f t="shared" si="1218"/>
        <v>0</v>
      </c>
      <c r="V87" s="113">
        <f t="shared" si="1219"/>
        <v>239</v>
      </c>
      <c r="W87" s="113">
        <f t="shared" si="1220"/>
        <v>5774.24</v>
      </c>
      <c r="X87" s="113">
        <f t="shared" si="1221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22"/>
        <v>0</v>
      </c>
      <c r="AF87" s="95">
        <f t="shared" si="1223"/>
        <v>0</v>
      </c>
      <c r="AG87" s="114">
        <v>0</v>
      </c>
      <c r="AH87" s="95">
        <f t="shared" si="1224"/>
        <v>239</v>
      </c>
      <c r="AI87" s="115">
        <f t="shared" si="1225"/>
        <v>5774.24</v>
      </c>
      <c r="AJ87" s="95">
        <f t="shared" si="1226"/>
        <v>0</v>
      </c>
      <c r="AK87" s="95">
        <f t="shared" si="1227"/>
        <v>0</v>
      </c>
      <c r="AL87" s="95">
        <f t="shared" si="1228"/>
        <v>261</v>
      </c>
      <c r="AM87" s="95">
        <f t="shared" si="1229"/>
        <v>460</v>
      </c>
      <c r="AN87" s="95">
        <f t="shared" si="1230"/>
        <v>31.173913043478262</v>
      </c>
      <c r="AO87" s="95" t="str">
        <f t="shared" si="1231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32"/>
        <v>0-01</v>
      </c>
      <c r="AW87" s="117">
        <f t="shared" si="1233"/>
        <v>0</v>
      </c>
      <c r="AX87" s="118"/>
      <c r="AY87" s="25">
        <f t="shared" si="1234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35"/>
        <v>0</v>
      </c>
      <c r="BG87" s="29">
        <v>0</v>
      </c>
      <c r="BH87" s="29">
        <f t="shared" si="1236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37"/>
        <v>230</v>
      </c>
      <c r="BR87" s="95">
        <f t="shared" si="1238"/>
        <v>-121</v>
      </c>
      <c r="BS87" s="95">
        <f t="shared" si="1239"/>
        <v>-121</v>
      </c>
      <c r="BT87" s="95">
        <f t="shared" si="1239"/>
        <v>-121</v>
      </c>
      <c r="BU87" s="95">
        <f t="shared" si="1239"/>
        <v>-121</v>
      </c>
      <c r="BV87" s="95">
        <f t="shared" si="1239"/>
        <v>-121</v>
      </c>
      <c r="BW87" s="95">
        <f t="shared" si="1239"/>
        <v>-221</v>
      </c>
      <c r="BX87" s="95">
        <f t="shared" si="1240"/>
        <v>-451</v>
      </c>
      <c r="BY87" s="95">
        <f t="shared" si="1240"/>
        <v>-681</v>
      </c>
      <c r="BZ87" s="95">
        <f t="shared" si="1240"/>
        <v>-911</v>
      </c>
      <c r="CA87" s="95">
        <f t="shared" si="1240"/>
        <v>-1141</v>
      </c>
      <c r="CB87" s="95">
        <f t="shared" si="1240"/>
        <v>-1371</v>
      </c>
      <c r="CC87" s="95">
        <f t="shared" si="1240"/>
        <v>-1601</v>
      </c>
      <c r="CD87" s="95">
        <f t="shared" si="1240"/>
        <v>-1831</v>
      </c>
      <c r="CE87" s="95">
        <f t="shared" si="1240"/>
        <v>-2061</v>
      </c>
      <c r="CF87" s="95">
        <f t="shared" si="1240"/>
        <v>-2291</v>
      </c>
      <c r="CG87" s="95">
        <f t="shared" si="1240"/>
        <v>-2521</v>
      </c>
      <c r="CH87" s="95">
        <f t="shared" si="1240"/>
        <v>-2751</v>
      </c>
      <c r="CI87" s="95">
        <f t="shared" si="1240"/>
        <v>-2981</v>
      </c>
      <c r="CJ87" s="95">
        <f t="shared" si="1240"/>
        <v>-3211</v>
      </c>
      <c r="CK87" s="95">
        <f t="shared" si="1240"/>
        <v>-3441</v>
      </c>
      <c r="CL87" s="95">
        <f t="shared" si="1240"/>
        <v>-3671</v>
      </c>
      <c r="CM87" s="95">
        <f t="shared" si="1240"/>
        <v>-3901</v>
      </c>
      <c r="CN87" s="95">
        <f t="shared" si="1240"/>
        <v>-4131</v>
      </c>
      <c r="CO87" s="95">
        <f t="shared" si="1240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41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42"/>
        <v>0</v>
      </c>
      <c r="DB87" s="62">
        <f t="shared" si="1243"/>
        <v>0</v>
      </c>
      <c r="DC87" s="62">
        <f t="shared" si="1244"/>
        <v>0</v>
      </c>
      <c r="DD87" s="102">
        <f t="shared" si="1245"/>
        <v>0</v>
      </c>
      <c r="DE87" s="31">
        <v>0</v>
      </c>
      <c r="DF87" s="31">
        <v>90</v>
      </c>
      <c r="DG87" s="31">
        <v>0</v>
      </c>
      <c r="DH87" s="48">
        <f t="shared" si="1246"/>
        <v>0</v>
      </c>
      <c r="DI87" s="62">
        <v>424.25799999999998</v>
      </c>
      <c r="DJ87" s="62">
        <v>10248.886</v>
      </c>
      <c r="DK87" s="48">
        <f t="shared" si="1247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48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49"/>
        <v>0</v>
      </c>
      <c r="DV87" s="62">
        <v>0</v>
      </c>
      <c r="DW87" s="62">
        <v>0</v>
      </c>
      <c r="DX87" s="62">
        <f t="shared" si="1250"/>
        <v>1080</v>
      </c>
      <c r="DY87" s="62">
        <f t="shared" si="1251"/>
        <v>26092.799999999999</v>
      </c>
      <c r="DZ87" s="48">
        <f t="shared" si="1252"/>
        <v>0</v>
      </c>
      <c r="EA87" s="62">
        <f t="shared" si="1253"/>
        <v>0</v>
      </c>
      <c r="EB87" s="62">
        <f t="shared" si="1254"/>
        <v>0</v>
      </c>
      <c r="EC87" s="48">
        <f t="shared" si="1255"/>
        <v>0</v>
      </c>
      <c r="ED87" s="62">
        <f t="shared" si="1256"/>
        <v>0</v>
      </c>
      <c r="EE87" s="62">
        <f t="shared" si="1257"/>
        <v>0</v>
      </c>
      <c r="EF87" s="48">
        <f t="shared" si="1258"/>
        <v>0</v>
      </c>
      <c r="EG87" s="62">
        <f t="shared" si="1259"/>
        <v>0</v>
      </c>
      <c r="EH87" s="62">
        <f t="shared" si="1260"/>
        <v>0</v>
      </c>
      <c r="EI87" s="48">
        <f t="shared" si="1261"/>
        <v>0</v>
      </c>
      <c r="EJ87" s="62">
        <f t="shared" si="1262"/>
        <v>0</v>
      </c>
      <c r="EK87" s="62">
        <f t="shared" si="1263"/>
        <v>0</v>
      </c>
      <c r="EL87" s="48">
        <f t="shared" si="1264"/>
        <v>0</v>
      </c>
      <c r="EM87" s="62">
        <f t="shared" si="1265"/>
        <v>300</v>
      </c>
      <c r="EN87" s="62">
        <f t="shared" si="1266"/>
        <v>7248</v>
      </c>
      <c r="EO87" s="48">
        <f t="shared" si="1267"/>
        <v>0</v>
      </c>
      <c r="EP87" s="62">
        <f t="shared" si="1268"/>
        <v>8697.6</v>
      </c>
      <c r="EQ87" s="62">
        <f t="shared" si="1268"/>
        <v>0</v>
      </c>
      <c r="ER87" s="62">
        <f t="shared" si="1268"/>
        <v>0</v>
      </c>
      <c r="ES87" s="62">
        <f t="shared" si="1269"/>
        <v>0</v>
      </c>
      <c r="ET87" s="62">
        <f t="shared" si="1269"/>
        <v>0</v>
      </c>
      <c r="EU87" s="62">
        <f t="shared" si="1269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70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 t="shared" si="1034"/>
        <v>1</v>
      </c>
      <c r="FS87" s="103" t="b">
        <f t="shared" si="1035"/>
        <v>0</v>
      </c>
      <c r="FT87" s="103" t="b">
        <f t="shared" si="1036"/>
        <v>1</v>
      </c>
      <c r="FU87" s="103" t="b">
        <f t="shared" si="1037"/>
        <v>0</v>
      </c>
      <c r="FV87" s="103" t="b">
        <f t="shared" si="1038"/>
        <v>1</v>
      </c>
      <c r="FW87" s="104" t="b">
        <f t="shared" si="1094"/>
        <v>0</v>
      </c>
      <c r="FX87" s="120" t="b">
        <f t="shared" si="1271"/>
        <v>1</v>
      </c>
      <c r="FY87" s="104" t="s">
        <v>214</v>
      </c>
      <c r="FZ87" s="104" t="b">
        <f t="shared" si="1272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73"/>
        <v>1</v>
      </c>
      <c r="GI87" s="8" t="b">
        <f t="shared" si="1274"/>
        <v>0</v>
      </c>
    </row>
    <row r="88" spans="1:191" s="31" customFormat="1" hidden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76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77">Q88*FH88</f>
        <v>261684.72000000003</v>
      </c>
      <c r="S88" s="94">
        <v>48</v>
      </c>
      <c r="T88" s="94">
        <v>34480.32</v>
      </c>
      <c r="U88" s="94">
        <f t="shared" ref="U88:U91" si="1278">IFERROR(ROUNDUP(S88/$EX88,0)*$EY88,0)</f>
        <v>1</v>
      </c>
      <c r="V88" s="94">
        <f t="shared" ref="V88:V91" si="1279">SUM(Z88:AD88)</f>
        <v>396</v>
      </c>
      <c r="W88" s="94">
        <f t="shared" ref="W88:W91" si="1280">V88*FH88</f>
        <v>261684.72000000003</v>
      </c>
      <c r="X88" s="94">
        <f t="shared" ref="X88:X91" si="1281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82">AA88*FH88</f>
        <v>0</v>
      </c>
      <c r="AF88" s="95">
        <f t="shared" ref="AF88:AF91" si="1283">AB88*FH88</f>
        <v>0</v>
      </c>
      <c r="AG88" s="96">
        <v>0</v>
      </c>
      <c r="AH88" s="95">
        <f t="shared" ref="AH88:AH91" si="1284">V88-AG88</f>
        <v>396</v>
      </c>
      <c r="AI88" s="94">
        <f t="shared" ref="AI88:AI91" si="1285">IF(AH88&gt;0,AH88*FH88,0)</f>
        <v>261684.72000000003</v>
      </c>
      <c r="AJ88" s="94">
        <f t="shared" ref="AJ88:AJ91" si="1286">CU88</f>
        <v>1604</v>
      </c>
      <c r="AK88" s="94">
        <f t="shared" si="1227"/>
        <v>1604</v>
      </c>
      <c r="AL88" s="94">
        <f t="shared" ref="AL88:AL91" si="1287">SUM(CP88:CU88)</f>
        <v>2340</v>
      </c>
      <c r="AM88" s="94">
        <f t="shared" ref="AM88:AM91" si="1288">SUM(BK88:BP88)</f>
        <v>4200</v>
      </c>
      <c r="AN88" s="94">
        <f t="shared" ref="AN88:AN91" si="1289">IFERROR(S88/BQ88*30,"нет оборота")</f>
        <v>2.0571428571428574</v>
      </c>
      <c r="AO88" s="94" t="str">
        <f t="shared" ref="AO88:AO91" si="1290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91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92">IF(AT88="Да",W88,0)</f>
        <v>0</v>
      </c>
      <c r="AX88" s="93"/>
      <c r="AY88" s="94">
        <f t="shared" ref="AY88:AY91" si="1293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94">BE88*FH88</f>
        <v>0</v>
      </c>
      <c r="BG88" s="29">
        <v>0</v>
      </c>
      <c r="BH88" s="29">
        <f t="shared" ref="BH88:BH91" si="1295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96">IF(COUNTIF(BK88:BP88,"&gt;0")=0,0,SUM(BK88:BP88)/COUNTIF(BK88:BP88,"&gt;0"))</f>
        <v>700</v>
      </c>
      <c r="BR88" s="95">
        <f t="shared" ref="BR88:BR91" si="1297">IF(OR(Q88=0,SUM(BK88:BP88)=0,V88&gt;Q88),V88-BK88,Q88-BK88)</f>
        <v>-504</v>
      </c>
      <c r="BS88" s="95">
        <f t="shared" ref="BS88:BW91" si="1298">BR88-BL88</f>
        <v>-804</v>
      </c>
      <c r="BT88" s="95">
        <f t="shared" si="1298"/>
        <v>-1104</v>
      </c>
      <c r="BU88" s="95">
        <f t="shared" si="1298"/>
        <v>-2004</v>
      </c>
      <c r="BV88" s="95">
        <f t="shared" si="1298"/>
        <v>-2904</v>
      </c>
      <c r="BW88" s="95">
        <f t="shared" si="1298"/>
        <v>-3804</v>
      </c>
      <c r="BX88" s="95">
        <f t="shared" ref="BX88:CO91" si="1299">BW88-$BQ88</f>
        <v>-4504</v>
      </c>
      <c r="BY88" s="95">
        <f t="shared" si="1299"/>
        <v>-5204</v>
      </c>
      <c r="BZ88" s="95">
        <f t="shared" si="1299"/>
        <v>-5904</v>
      </c>
      <c r="CA88" s="95">
        <f t="shared" si="1299"/>
        <v>-6604</v>
      </c>
      <c r="CB88" s="95">
        <f t="shared" si="1299"/>
        <v>-7304</v>
      </c>
      <c r="CC88" s="95">
        <f t="shared" si="1299"/>
        <v>-8004</v>
      </c>
      <c r="CD88" s="95">
        <f t="shared" si="1299"/>
        <v>-8704</v>
      </c>
      <c r="CE88" s="95">
        <f t="shared" si="1299"/>
        <v>-9404</v>
      </c>
      <c r="CF88" s="95">
        <f t="shared" si="1299"/>
        <v>-10104</v>
      </c>
      <c r="CG88" s="95">
        <f t="shared" si="1299"/>
        <v>-10804</v>
      </c>
      <c r="CH88" s="95">
        <f t="shared" si="1299"/>
        <v>-11504</v>
      </c>
      <c r="CI88" s="95">
        <f t="shared" si="1299"/>
        <v>-12204</v>
      </c>
      <c r="CJ88" s="95">
        <f t="shared" si="1299"/>
        <v>-12904</v>
      </c>
      <c r="CK88" s="95">
        <f t="shared" si="1299"/>
        <v>-13604</v>
      </c>
      <c r="CL88" s="95">
        <f t="shared" si="1299"/>
        <v>-14304</v>
      </c>
      <c r="CM88" s="95">
        <f t="shared" si="1299"/>
        <v>-15004</v>
      </c>
      <c r="CN88" s="95">
        <f t="shared" si="1299"/>
        <v>-15704</v>
      </c>
      <c r="CO88" s="95">
        <f t="shared" si="1299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300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301">IFERROR(CZ88/CY88,0)</f>
        <v>0</v>
      </c>
      <c r="DB88" s="62">
        <f t="shared" ref="DB88:DB91" si="1302">CY88*FH88</f>
        <v>594738</v>
      </c>
      <c r="DC88" s="62">
        <f t="shared" ref="DC88:DC91" si="1303">CZ88*FH88</f>
        <v>0</v>
      </c>
      <c r="DD88" s="102">
        <f t="shared" ref="DD88:DD91" si="1304">IFERROR(DC88/DB88,0)</f>
        <v>0</v>
      </c>
      <c r="DE88" s="31">
        <v>0</v>
      </c>
      <c r="DG88" s="31">
        <v>0</v>
      </c>
      <c r="DH88" s="48">
        <f t="shared" ref="DH88:DH91" si="1305">IFERROR(ROUNDUP(DG88/$EX88,0)*$EY88,0)</f>
        <v>0</v>
      </c>
      <c r="DI88" s="62">
        <v>24.257999999999999</v>
      </c>
      <c r="DJ88" s="62">
        <v>17425.61</v>
      </c>
      <c r="DK88" s="48">
        <f t="shared" ref="DK88:DK91" si="1306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307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308">IFERROR(ROUNDUP(DS88/$EX88,0)*$EY88,0)</f>
        <v>1</v>
      </c>
      <c r="DV88" s="62">
        <v>0</v>
      </c>
      <c r="DW88" s="62">
        <v>0</v>
      </c>
      <c r="DX88" s="62">
        <f t="shared" ref="DX88:DX91" si="1309">$DF88*BK88/30</f>
        <v>0</v>
      </c>
      <c r="DY88" s="62">
        <f t="shared" ref="DY88:DY91" si="1310">DX88*$FH88</f>
        <v>0</v>
      </c>
      <c r="DZ88" s="48">
        <f t="shared" ref="DZ88:DZ91" si="1311">IFERROR(ROUNDUP(DX88/$EX88,0)*$EY88,0)</f>
        <v>0</v>
      </c>
      <c r="EA88" s="62">
        <f t="shared" ref="EA88:EA91" si="1312">$DF88*BL88/30</f>
        <v>0</v>
      </c>
      <c r="EB88" s="62">
        <f t="shared" ref="EB88:EB91" si="1313">EA88*$FH88</f>
        <v>0</v>
      </c>
      <c r="EC88" s="48">
        <f t="shared" ref="EC88:EC91" si="1314">IFERROR(ROUNDUP(EA88/$EX88,0)*$EY88,0)</f>
        <v>0</v>
      </c>
      <c r="ED88" s="62">
        <f t="shared" ref="ED88:ED91" si="1315">$DF88*BM88/30</f>
        <v>0</v>
      </c>
      <c r="EE88" s="62">
        <f t="shared" ref="EE88:EE91" si="1316">ED88*$FH88</f>
        <v>0</v>
      </c>
      <c r="EF88" s="48">
        <f t="shared" ref="EF88:EF91" si="1317">IFERROR(ROUNDUP(ED88/$EX88,0)*$EY88,0)</f>
        <v>0</v>
      </c>
      <c r="EG88" s="62">
        <f t="shared" ref="EG88:EG91" si="1318">$DF88*BN88/30</f>
        <v>0</v>
      </c>
      <c r="EH88" s="62">
        <f t="shared" ref="EH88:EH91" si="1319">EG88*$FH88</f>
        <v>0</v>
      </c>
      <c r="EI88" s="48">
        <f t="shared" ref="EI88:EI91" si="1320">IFERROR(ROUNDUP(EG88/$EX88,0)*$EY88,0)</f>
        <v>0</v>
      </c>
      <c r="EJ88" s="62">
        <f t="shared" ref="EJ88:EJ91" si="1321">$DF88*BO88/30</f>
        <v>0</v>
      </c>
      <c r="EK88" s="62">
        <f t="shared" ref="EK88:EK91" si="1322">EJ88*$FH88</f>
        <v>0</v>
      </c>
      <c r="EL88" s="48">
        <f t="shared" ref="EL88:EL91" si="1323">IFERROR(ROUNDUP(EJ88/$EX88,0)*$EY88,0)</f>
        <v>0</v>
      </c>
      <c r="EM88" s="62">
        <f t="shared" ref="EM88:EM91" si="1324">$DF88*BP88/30</f>
        <v>0</v>
      </c>
      <c r="EN88" s="62">
        <f t="shared" ref="EN88:EN91" si="1325">EM88*$FH88</f>
        <v>0</v>
      </c>
      <c r="EO88" s="48">
        <f t="shared" ref="EO88:EO91" si="1326">IFERROR(ROUNDUP(EM88/$EX88,0)*$EY88,0)</f>
        <v>0</v>
      </c>
      <c r="EP88" s="62">
        <f t="shared" ref="EP88:EU91" si="1327">BK88*$FH88</f>
        <v>594738</v>
      </c>
      <c r="EQ88" s="62">
        <f t="shared" si="1327"/>
        <v>198246.00000000003</v>
      </c>
      <c r="ER88" s="62">
        <f t="shared" si="1327"/>
        <v>198246.00000000003</v>
      </c>
      <c r="ES88" s="62">
        <f t="shared" si="1327"/>
        <v>594738</v>
      </c>
      <c r="ET88" s="62">
        <f t="shared" si="1327"/>
        <v>594738</v>
      </c>
      <c r="EU88" s="62">
        <f t="shared" si="1327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28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 t="shared" si="1034"/>
        <v>1</v>
      </c>
      <c r="FS88" s="104" t="b">
        <f t="shared" si="1035"/>
        <v>1</v>
      </c>
      <c r="FT88" s="104" t="b">
        <f t="shared" si="1036"/>
        <v>1</v>
      </c>
      <c r="FU88" s="104" t="b">
        <f t="shared" si="1037"/>
        <v>0</v>
      </c>
      <c r="FV88" s="104" t="b">
        <f t="shared" si="1038"/>
        <v>1</v>
      </c>
      <c r="FW88" s="104" t="b">
        <f t="shared" si="1094"/>
        <v>0</v>
      </c>
      <c r="FX88" s="104" t="b">
        <f t="shared" ref="FX88:FX91" si="1329">EXACT(FQ88,BI88)</f>
        <v>1</v>
      </c>
      <c r="FY88" s="104" t="s">
        <v>214</v>
      </c>
      <c r="FZ88" s="104" t="b">
        <f t="shared" ref="FZ88:FZ91" si="1330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31">EXACT(GD88,C88)</f>
        <v>1</v>
      </c>
      <c r="GI88" s="108" t="b">
        <f t="shared" ref="GI88:GI91" si="1332">EXACT(GG88,G88)</f>
        <v>0</v>
      </c>
    </row>
    <row r="89" spans="1:191" s="31" customFormat="1" hidden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76"/>
        <v>нет минмакс</v>
      </c>
      <c r="Q89" s="95">
        <v>5262</v>
      </c>
      <c r="R89" s="95">
        <f t="shared" si="1277"/>
        <v>96399.84</v>
      </c>
      <c r="S89" s="112">
        <v>7276</v>
      </c>
      <c r="T89" s="112">
        <v>133369.07999999999</v>
      </c>
      <c r="U89" s="112">
        <f t="shared" si="1278"/>
        <v>0</v>
      </c>
      <c r="V89" s="113">
        <f t="shared" si="1279"/>
        <v>5262</v>
      </c>
      <c r="W89" s="113">
        <f t="shared" si="1280"/>
        <v>96399.84</v>
      </c>
      <c r="X89" s="113">
        <f t="shared" si="1281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82"/>
        <v>0</v>
      </c>
      <c r="AF89" s="95">
        <f t="shared" si="1283"/>
        <v>36640</v>
      </c>
      <c r="AG89" s="114">
        <v>0</v>
      </c>
      <c r="AH89" s="95">
        <f t="shared" si="1284"/>
        <v>5262</v>
      </c>
      <c r="AI89" s="115">
        <f t="shared" si="1285"/>
        <v>96399.84</v>
      </c>
      <c r="AJ89" s="95">
        <f t="shared" si="1286"/>
        <v>2014</v>
      </c>
      <c r="AK89" s="95">
        <f t="shared" ref="AK89:AK91" si="1333">SUM(CS89:CU89)</f>
        <v>2014</v>
      </c>
      <c r="AL89" s="95">
        <f t="shared" si="1287"/>
        <v>2776</v>
      </c>
      <c r="AM89" s="95">
        <f t="shared" si="1288"/>
        <v>5220</v>
      </c>
      <c r="AN89" s="95">
        <f t="shared" si="1289"/>
        <v>167.26436781609195</v>
      </c>
      <c r="AO89" s="95" t="str">
        <f t="shared" si="1290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91"/>
        <v>0-07</v>
      </c>
      <c r="AW89" s="117">
        <f t="shared" si="1292"/>
        <v>96399.84</v>
      </c>
      <c r="AX89" s="14">
        <f t="shared" ref="AX89:AX90" si="1334">MONTH(BC89)-6</f>
        <v>4</v>
      </c>
      <c r="AY89" s="25">
        <f t="shared" si="1293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94"/>
        <v>0</v>
      </c>
      <c r="BG89" s="29">
        <v>0</v>
      </c>
      <c r="BH89" s="29">
        <f t="shared" si="1295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96"/>
        <v>1305</v>
      </c>
      <c r="BR89" s="95">
        <f t="shared" si="1297"/>
        <v>3822</v>
      </c>
      <c r="BS89" s="95">
        <f t="shared" si="1298"/>
        <v>3822</v>
      </c>
      <c r="BT89" s="95">
        <f t="shared" si="1298"/>
        <v>2382</v>
      </c>
      <c r="BU89" s="95">
        <f t="shared" si="1298"/>
        <v>2382</v>
      </c>
      <c r="BV89" s="95">
        <f t="shared" si="1298"/>
        <v>942</v>
      </c>
      <c r="BW89" s="95">
        <f t="shared" si="1298"/>
        <v>42</v>
      </c>
      <c r="BX89" s="95">
        <f t="shared" si="1299"/>
        <v>-1263</v>
      </c>
      <c r="BY89" s="95">
        <f t="shared" si="1299"/>
        <v>-2568</v>
      </c>
      <c r="BZ89" s="95">
        <f t="shared" si="1299"/>
        <v>-3873</v>
      </c>
      <c r="CA89" s="95">
        <f t="shared" si="1299"/>
        <v>-5178</v>
      </c>
      <c r="CB89" s="95">
        <f t="shared" si="1299"/>
        <v>-6483</v>
      </c>
      <c r="CC89" s="95">
        <f t="shared" si="1299"/>
        <v>-7788</v>
      </c>
      <c r="CD89" s="95">
        <f t="shared" si="1299"/>
        <v>-9093</v>
      </c>
      <c r="CE89" s="95">
        <f t="shared" si="1299"/>
        <v>-10398</v>
      </c>
      <c r="CF89" s="95">
        <f t="shared" si="1299"/>
        <v>-11703</v>
      </c>
      <c r="CG89" s="95">
        <f t="shared" si="1299"/>
        <v>-13008</v>
      </c>
      <c r="CH89" s="95">
        <f t="shared" si="1299"/>
        <v>-14313</v>
      </c>
      <c r="CI89" s="95">
        <f t="shared" si="1299"/>
        <v>-15618</v>
      </c>
      <c r="CJ89" s="95">
        <f t="shared" si="1299"/>
        <v>-16923</v>
      </c>
      <c r="CK89" s="95">
        <f t="shared" si="1299"/>
        <v>-18228</v>
      </c>
      <c r="CL89" s="95">
        <f t="shared" si="1299"/>
        <v>-19533</v>
      </c>
      <c r="CM89" s="95">
        <f t="shared" si="1299"/>
        <v>-20838</v>
      </c>
      <c r="CN89" s="95">
        <f t="shared" si="1299"/>
        <v>-22143</v>
      </c>
      <c r="CO89" s="95">
        <f t="shared" si="1299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300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301"/>
        <v>0</v>
      </c>
      <c r="DB89" s="62">
        <f t="shared" si="1302"/>
        <v>0</v>
      </c>
      <c r="DC89" s="62">
        <f t="shared" si="1303"/>
        <v>0</v>
      </c>
      <c r="DD89" s="102">
        <f t="shared" si="1304"/>
        <v>0</v>
      </c>
      <c r="DE89" s="31">
        <v>0</v>
      </c>
      <c r="DF89" s="31">
        <v>90</v>
      </c>
      <c r="DG89" s="31">
        <v>0</v>
      </c>
      <c r="DH89" s="48">
        <f t="shared" si="1305"/>
        <v>0</v>
      </c>
      <c r="DI89" s="62">
        <v>8013.4189999999999</v>
      </c>
      <c r="DJ89" s="62">
        <v>146525.45600000001</v>
      </c>
      <c r="DK89" s="48">
        <f t="shared" si="1306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307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308"/>
        <v>0</v>
      </c>
      <c r="DV89" s="62">
        <v>0</v>
      </c>
      <c r="DW89" s="62">
        <v>0</v>
      </c>
      <c r="DX89" s="62">
        <f t="shared" si="1309"/>
        <v>4320</v>
      </c>
      <c r="DY89" s="62">
        <f t="shared" si="1310"/>
        <v>79142.399999999994</v>
      </c>
      <c r="DZ89" s="48">
        <f t="shared" si="1311"/>
        <v>0</v>
      </c>
      <c r="EA89" s="62">
        <f t="shared" si="1312"/>
        <v>0</v>
      </c>
      <c r="EB89" s="62">
        <f t="shared" si="1313"/>
        <v>0</v>
      </c>
      <c r="EC89" s="48">
        <f t="shared" si="1314"/>
        <v>0</v>
      </c>
      <c r="ED89" s="62">
        <f t="shared" si="1315"/>
        <v>4320</v>
      </c>
      <c r="EE89" s="62">
        <f t="shared" si="1316"/>
        <v>79142.399999999994</v>
      </c>
      <c r="EF89" s="48">
        <f t="shared" si="1317"/>
        <v>0</v>
      </c>
      <c r="EG89" s="62">
        <f t="shared" si="1318"/>
        <v>0</v>
      </c>
      <c r="EH89" s="62">
        <f t="shared" si="1319"/>
        <v>0</v>
      </c>
      <c r="EI89" s="48">
        <f t="shared" si="1320"/>
        <v>0</v>
      </c>
      <c r="EJ89" s="62">
        <f t="shared" si="1321"/>
        <v>4320</v>
      </c>
      <c r="EK89" s="62">
        <f t="shared" si="1322"/>
        <v>79142.399999999994</v>
      </c>
      <c r="EL89" s="48">
        <f t="shared" si="1323"/>
        <v>0</v>
      </c>
      <c r="EM89" s="62">
        <f t="shared" si="1324"/>
        <v>2700</v>
      </c>
      <c r="EN89" s="62">
        <f t="shared" si="1325"/>
        <v>49464</v>
      </c>
      <c r="EO89" s="48">
        <f t="shared" si="1326"/>
        <v>0</v>
      </c>
      <c r="EP89" s="62">
        <f t="shared" si="1327"/>
        <v>26380.799999999999</v>
      </c>
      <c r="EQ89" s="62">
        <f t="shared" si="1327"/>
        <v>0</v>
      </c>
      <c r="ER89" s="62">
        <f t="shared" si="1327"/>
        <v>26380.799999999999</v>
      </c>
      <c r="ES89" s="62">
        <f t="shared" si="1327"/>
        <v>0</v>
      </c>
      <c r="ET89" s="62">
        <f t="shared" si="1327"/>
        <v>26380.799999999999</v>
      </c>
      <c r="EU89" s="62">
        <f t="shared" si="1327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28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 t="shared" si="1034"/>
        <v>1</v>
      </c>
      <c r="FS89" s="103" t="b">
        <f t="shared" si="1035"/>
        <v>1</v>
      </c>
      <c r="FT89" s="103" t="b">
        <f t="shared" si="1036"/>
        <v>1</v>
      </c>
      <c r="FU89" s="103" t="b">
        <f t="shared" si="1037"/>
        <v>0</v>
      </c>
      <c r="FV89" s="103" t="b">
        <f t="shared" si="1038"/>
        <v>1</v>
      </c>
      <c r="FW89" s="104" t="b">
        <f t="shared" si="1094"/>
        <v>0</v>
      </c>
      <c r="FX89" s="120" t="b">
        <f t="shared" si="1329"/>
        <v>1</v>
      </c>
      <c r="FY89" s="104" t="s">
        <v>214</v>
      </c>
      <c r="FZ89" s="104" t="b">
        <f t="shared" si="1330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31"/>
        <v>1</v>
      </c>
      <c r="GI89" s="8" t="b">
        <f t="shared" si="1332"/>
        <v>0</v>
      </c>
    </row>
    <row r="90" spans="1:191" s="31" customFormat="1" hidden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76"/>
        <v>нет минмакс</v>
      </c>
      <c r="Q90" s="95">
        <v>5281</v>
      </c>
      <c r="R90" s="95">
        <f t="shared" si="1277"/>
        <v>94899.569999999992</v>
      </c>
      <c r="S90" s="112">
        <v>7260</v>
      </c>
      <c r="T90" s="112">
        <v>130607.4</v>
      </c>
      <c r="U90" s="112">
        <f t="shared" si="1278"/>
        <v>0</v>
      </c>
      <c r="V90" s="113">
        <f t="shared" si="1279"/>
        <v>5281</v>
      </c>
      <c r="W90" s="113">
        <f t="shared" si="1280"/>
        <v>94899.569999999992</v>
      </c>
      <c r="X90" s="113">
        <f t="shared" si="1281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82"/>
        <v>0</v>
      </c>
      <c r="AF90" s="95">
        <f t="shared" si="1283"/>
        <v>35940</v>
      </c>
      <c r="AG90" s="114">
        <v>0</v>
      </c>
      <c r="AH90" s="95">
        <f t="shared" si="1284"/>
        <v>5281</v>
      </c>
      <c r="AI90" s="115">
        <f t="shared" si="1285"/>
        <v>94899.569999999992</v>
      </c>
      <c r="AJ90" s="95">
        <f t="shared" si="1286"/>
        <v>1979</v>
      </c>
      <c r="AK90" s="95">
        <f t="shared" si="1333"/>
        <v>1979</v>
      </c>
      <c r="AL90" s="95">
        <f t="shared" si="1287"/>
        <v>2750</v>
      </c>
      <c r="AM90" s="95">
        <f t="shared" si="1288"/>
        <v>5220</v>
      </c>
      <c r="AN90" s="95">
        <f t="shared" si="1289"/>
        <v>166.89655172413794</v>
      </c>
      <c r="AO90" s="95" t="str">
        <f t="shared" si="1290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91"/>
        <v>0-07</v>
      </c>
      <c r="AW90" s="117">
        <f t="shared" si="1292"/>
        <v>94899.569999999992</v>
      </c>
      <c r="AX90" s="14">
        <f t="shared" si="1334"/>
        <v>4</v>
      </c>
      <c r="AY90" s="25">
        <f t="shared" si="1293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94"/>
        <v>0</v>
      </c>
      <c r="BG90" s="29">
        <v>0</v>
      </c>
      <c r="BH90" s="29">
        <f t="shared" si="1295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96"/>
        <v>1305</v>
      </c>
      <c r="BR90" s="95">
        <f t="shared" si="1297"/>
        <v>3841</v>
      </c>
      <c r="BS90" s="95">
        <f t="shared" si="1298"/>
        <v>3841</v>
      </c>
      <c r="BT90" s="95">
        <f t="shared" si="1298"/>
        <v>2401</v>
      </c>
      <c r="BU90" s="95">
        <f t="shared" si="1298"/>
        <v>2401</v>
      </c>
      <c r="BV90" s="95">
        <f t="shared" si="1298"/>
        <v>961</v>
      </c>
      <c r="BW90" s="95">
        <f t="shared" si="1298"/>
        <v>61</v>
      </c>
      <c r="BX90" s="95">
        <f t="shared" si="1299"/>
        <v>-1244</v>
      </c>
      <c r="BY90" s="95">
        <f t="shared" si="1299"/>
        <v>-2549</v>
      </c>
      <c r="BZ90" s="95">
        <f t="shared" si="1299"/>
        <v>-3854</v>
      </c>
      <c r="CA90" s="95">
        <f t="shared" si="1299"/>
        <v>-5159</v>
      </c>
      <c r="CB90" s="95">
        <f t="shared" si="1299"/>
        <v>-6464</v>
      </c>
      <c r="CC90" s="95">
        <f t="shared" si="1299"/>
        <v>-7769</v>
      </c>
      <c r="CD90" s="95">
        <f t="shared" si="1299"/>
        <v>-9074</v>
      </c>
      <c r="CE90" s="95">
        <f t="shared" si="1299"/>
        <v>-10379</v>
      </c>
      <c r="CF90" s="95">
        <f t="shared" si="1299"/>
        <v>-11684</v>
      </c>
      <c r="CG90" s="95">
        <f t="shared" si="1299"/>
        <v>-12989</v>
      </c>
      <c r="CH90" s="95">
        <f t="shared" si="1299"/>
        <v>-14294</v>
      </c>
      <c r="CI90" s="95">
        <f t="shared" si="1299"/>
        <v>-15599</v>
      </c>
      <c r="CJ90" s="95">
        <f t="shared" si="1299"/>
        <v>-16904</v>
      </c>
      <c r="CK90" s="95">
        <f t="shared" si="1299"/>
        <v>-18209</v>
      </c>
      <c r="CL90" s="95">
        <f t="shared" si="1299"/>
        <v>-19514</v>
      </c>
      <c r="CM90" s="95">
        <f t="shared" si="1299"/>
        <v>-20819</v>
      </c>
      <c r="CN90" s="95">
        <f t="shared" si="1299"/>
        <v>-22124</v>
      </c>
      <c r="CO90" s="95">
        <f t="shared" si="1299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300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301"/>
        <v>0</v>
      </c>
      <c r="DB90" s="62">
        <f t="shared" si="1302"/>
        <v>0</v>
      </c>
      <c r="DC90" s="62">
        <f t="shared" si="1303"/>
        <v>0</v>
      </c>
      <c r="DD90" s="102">
        <f t="shared" si="1304"/>
        <v>0</v>
      </c>
      <c r="DE90" s="31">
        <v>0</v>
      </c>
      <c r="DF90" s="31">
        <v>90</v>
      </c>
      <c r="DG90" s="31">
        <v>0</v>
      </c>
      <c r="DH90" s="48">
        <f t="shared" si="1305"/>
        <v>0</v>
      </c>
      <c r="DI90" s="62">
        <v>8006.1289999999999</v>
      </c>
      <c r="DJ90" s="62">
        <v>143409.068</v>
      </c>
      <c r="DK90" s="48">
        <f t="shared" si="1306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307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308"/>
        <v>0</v>
      </c>
      <c r="DV90" s="62">
        <v>0</v>
      </c>
      <c r="DW90" s="62">
        <v>0</v>
      </c>
      <c r="DX90" s="62">
        <f t="shared" si="1309"/>
        <v>4320</v>
      </c>
      <c r="DY90" s="62">
        <f t="shared" si="1310"/>
        <v>77630.399999999994</v>
      </c>
      <c r="DZ90" s="48">
        <f t="shared" si="1311"/>
        <v>0</v>
      </c>
      <c r="EA90" s="62">
        <f t="shared" si="1312"/>
        <v>0</v>
      </c>
      <c r="EB90" s="62">
        <f t="shared" si="1313"/>
        <v>0</v>
      </c>
      <c r="EC90" s="48">
        <f t="shared" si="1314"/>
        <v>0</v>
      </c>
      <c r="ED90" s="62">
        <f t="shared" si="1315"/>
        <v>4320</v>
      </c>
      <c r="EE90" s="62">
        <f t="shared" si="1316"/>
        <v>77630.399999999994</v>
      </c>
      <c r="EF90" s="48">
        <f t="shared" si="1317"/>
        <v>0</v>
      </c>
      <c r="EG90" s="62">
        <f t="shared" si="1318"/>
        <v>0</v>
      </c>
      <c r="EH90" s="62">
        <f t="shared" si="1319"/>
        <v>0</v>
      </c>
      <c r="EI90" s="48">
        <f t="shared" si="1320"/>
        <v>0</v>
      </c>
      <c r="EJ90" s="62">
        <f t="shared" si="1321"/>
        <v>4320</v>
      </c>
      <c r="EK90" s="62">
        <f t="shared" si="1322"/>
        <v>77630.399999999994</v>
      </c>
      <c r="EL90" s="48">
        <f t="shared" si="1323"/>
        <v>0</v>
      </c>
      <c r="EM90" s="62">
        <f t="shared" si="1324"/>
        <v>2700</v>
      </c>
      <c r="EN90" s="62">
        <f t="shared" si="1325"/>
        <v>48519</v>
      </c>
      <c r="EO90" s="48">
        <f t="shared" si="1326"/>
        <v>0</v>
      </c>
      <c r="EP90" s="62">
        <f t="shared" si="1327"/>
        <v>25876.799999999999</v>
      </c>
      <c r="EQ90" s="62">
        <f t="shared" si="1327"/>
        <v>0</v>
      </c>
      <c r="ER90" s="62">
        <f t="shared" si="1327"/>
        <v>25876.799999999999</v>
      </c>
      <c r="ES90" s="62">
        <f t="shared" si="1327"/>
        <v>0</v>
      </c>
      <c r="ET90" s="62">
        <f t="shared" si="1327"/>
        <v>25876.799999999999</v>
      </c>
      <c r="EU90" s="62">
        <f t="shared" si="1327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28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 t="shared" si="1034"/>
        <v>1</v>
      </c>
      <c r="FS90" s="103" t="b">
        <f t="shared" si="1035"/>
        <v>1</v>
      </c>
      <c r="FT90" s="103" t="b">
        <f t="shared" si="1036"/>
        <v>1</v>
      </c>
      <c r="FU90" s="103" t="b">
        <f t="shared" si="1037"/>
        <v>0</v>
      </c>
      <c r="FV90" s="103" t="b">
        <f t="shared" si="1038"/>
        <v>1</v>
      </c>
      <c r="FW90" s="104" t="b">
        <f t="shared" si="1094"/>
        <v>0</v>
      </c>
      <c r="FX90" s="120" t="b">
        <f t="shared" si="1329"/>
        <v>1</v>
      </c>
      <c r="FY90" s="104" t="s">
        <v>214</v>
      </c>
      <c r="FZ90" s="104" t="b">
        <f t="shared" si="1330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31"/>
        <v>1</v>
      </c>
      <c r="GI90" s="8" t="b">
        <f t="shared" si="1332"/>
        <v>0</v>
      </c>
    </row>
    <row r="91" spans="1:191" s="31" customFormat="1" hidden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76"/>
        <v>нет минмакс</v>
      </c>
      <c r="Q91" s="95">
        <v>1293</v>
      </c>
      <c r="R91" s="95">
        <f t="shared" si="1277"/>
        <v>19213.98</v>
      </c>
      <c r="S91" s="112">
        <v>1783</v>
      </c>
      <c r="T91" s="112">
        <v>26495.379999999997</v>
      </c>
      <c r="U91" s="112">
        <f t="shared" si="1278"/>
        <v>0</v>
      </c>
      <c r="V91" s="113">
        <f t="shared" si="1279"/>
        <v>1293</v>
      </c>
      <c r="W91" s="113">
        <f t="shared" si="1280"/>
        <v>19213.98</v>
      </c>
      <c r="X91" s="113">
        <f t="shared" si="1281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82"/>
        <v>0</v>
      </c>
      <c r="AF91" s="95">
        <f t="shared" si="1283"/>
        <v>0</v>
      </c>
      <c r="AG91" s="114">
        <v>0</v>
      </c>
      <c r="AH91" s="95">
        <f t="shared" si="1284"/>
        <v>1293</v>
      </c>
      <c r="AI91" s="115">
        <f t="shared" si="1285"/>
        <v>19213.98</v>
      </c>
      <c r="AJ91" s="95">
        <f t="shared" si="1286"/>
        <v>490</v>
      </c>
      <c r="AK91" s="95">
        <f t="shared" si="1333"/>
        <v>490</v>
      </c>
      <c r="AL91" s="95">
        <f t="shared" si="1287"/>
        <v>683</v>
      </c>
      <c r="AM91" s="95">
        <f t="shared" si="1288"/>
        <v>1305</v>
      </c>
      <c r="AN91" s="95">
        <f t="shared" si="1289"/>
        <v>163.95402298850573</v>
      </c>
      <c r="AO91" s="95" t="str">
        <f t="shared" si="1290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91"/>
        <v>0-06</v>
      </c>
      <c r="AW91" s="117">
        <f t="shared" si="1292"/>
        <v>0</v>
      </c>
      <c r="AX91" s="14"/>
      <c r="AY91" s="25">
        <f t="shared" si="1293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94"/>
        <v>0</v>
      </c>
      <c r="BG91" s="29">
        <v>0</v>
      </c>
      <c r="BH91" s="29">
        <f t="shared" si="1295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96"/>
        <v>326.25</v>
      </c>
      <c r="BR91" s="95">
        <f t="shared" si="1297"/>
        <v>933</v>
      </c>
      <c r="BS91" s="95">
        <f t="shared" si="1298"/>
        <v>933</v>
      </c>
      <c r="BT91" s="95">
        <f t="shared" si="1298"/>
        <v>573</v>
      </c>
      <c r="BU91" s="95">
        <f t="shared" si="1298"/>
        <v>573</v>
      </c>
      <c r="BV91" s="95">
        <f t="shared" si="1298"/>
        <v>213</v>
      </c>
      <c r="BW91" s="95">
        <f t="shared" si="1298"/>
        <v>-12</v>
      </c>
      <c r="BX91" s="95">
        <f t="shared" si="1299"/>
        <v>-338.25</v>
      </c>
      <c r="BY91" s="95">
        <f t="shared" si="1299"/>
        <v>-664.5</v>
      </c>
      <c r="BZ91" s="95">
        <f t="shared" si="1299"/>
        <v>-990.75</v>
      </c>
      <c r="CA91" s="95">
        <f t="shared" si="1299"/>
        <v>-1317</v>
      </c>
      <c r="CB91" s="95">
        <f t="shared" si="1299"/>
        <v>-1643.25</v>
      </c>
      <c r="CC91" s="95">
        <f t="shared" si="1299"/>
        <v>-1969.5</v>
      </c>
      <c r="CD91" s="95">
        <f t="shared" si="1299"/>
        <v>-2295.75</v>
      </c>
      <c r="CE91" s="95">
        <f t="shared" si="1299"/>
        <v>-2622</v>
      </c>
      <c r="CF91" s="95">
        <f t="shared" si="1299"/>
        <v>-2948.25</v>
      </c>
      <c r="CG91" s="95">
        <f t="shared" si="1299"/>
        <v>-3274.5</v>
      </c>
      <c r="CH91" s="95">
        <f t="shared" si="1299"/>
        <v>-3600.75</v>
      </c>
      <c r="CI91" s="95">
        <f t="shared" si="1299"/>
        <v>-3927</v>
      </c>
      <c r="CJ91" s="95">
        <f t="shared" si="1299"/>
        <v>-4253.25</v>
      </c>
      <c r="CK91" s="95">
        <f t="shared" si="1299"/>
        <v>-4579.5</v>
      </c>
      <c r="CL91" s="95">
        <f t="shared" si="1299"/>
        <v>-4905.75</v>
      </c>
      <c r="CM91" s="95">
        <f t="shared" si="1299"/>
        <v>-5232</v>
      </c>
      <c r="CN91" s="95">
        <f t="shared" si="1299"/>
        <v>-5558.25</v>
      </c>
      <c r="CO91" s="95">
        <f t="shared" si="1299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300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301"/>
        <v>0</v>
      </c>
      <c r="DB91" s="62">
        <f t="shared" si="1302"/>
        <v>0</v>
      </c>
      <c r="DC91" s="62">
        <f t="shared" si="1303"/>
        <v>0</v>
      </c>
      <c r="DD91" s="102">
        <f t="shared" si="1304"/>
        <v>0</v>
      </c>
      <c r="DE91" s="31">
        <v>0</v>
      </c>
      <c r="DF91" s="31">
        <v>90</v>
      </c>
      <c r="DG91" s="31">
        <v>0</v>
      </c>
      <c r="DH91" s="48">
        <f t="shared" si="1305"/>
        <v>0</v>
      </c>
      <c r="DI91" s="62">
        <v>1969.8709999999999</v>
      </c>
      <c r="DJ91" s="62">
        <v>29275.831000000002</v>
      </c>
      <c r="DK91" s="48">
        <f t="shared" si="1306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307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308"/>
        <v>0</v>
      </c>
      <c r="DV91" s="62">
        <v>0</v>
      </c>
      <c r="DW91" s="62">
        <v>0</v>
      </c>
      <c r="DX91" s="62">
        <f t="shared" si="1309"/>
        <v>1080</v>
      </c>
      <c r="DY91" s="62">
        <f t="shared" si="1310"/>
        <v>16048.8</v>
      </c>
      <c r="DZ91" s="48">
        <f t="shared" si="1311"/>
        <v>0</v>
      </c>
      <c r="EA91" s="62">
        <f t="shared" si="1312"/>
        <v>0</v>
      </c>
      <c r="EB91" s="62">
        <f t="shared" si="1313"/>
        <v>0</v>
      </c>
      <c r="EC91" s="48">
        <f t="shared" si="1314"/>
        <v>0</v>
      </c>
      <c r="ED91" s="62">
        <f t="shared" si="1315"/>
        <v>1080</v>
      </c>
      <c r="EE91" s="62">
        <f t="shared" si="1316"/>
        <v>16048.8</v>
      </c>
      <c r="EF91" s="48">
        <f t="shared" si="1317"/>
        <v>0</v>
      </c>
      <c r="EG91" s="62">
        <f t="shared" si="1318"/>
        <v>0</v>
      </c>
      <c r="EH91" s="62">
        <f t="shared" si="1319"/>
        <v>0</v>
      </c>
      <c r="EI91" s="48">
        <f t="shared" si="1320"/>
        <v>0</v>
      </c>
      <c r="EJ91" s="62">
        <f t="shared" si="1321"/>
        <v>1080</v>
      </c>
      <c r="EK91" s="62">
        <f t="shared" si="1322"/>
        <v>16048.8</v>
      </c>
      <c r="EL91" s="48">
        <f t="shared" si="1323"/>
        <v>0</v>
      </c>
      <c r="EM91" s="62">
        <f t="shared" si="1324"/>
        <v>675</v>
      </c>
      <c r="EN91" s="62">
        <f t="shared" si="1325"/>
        <v>10030.5</v>
      </c>
      <c r="EO91" s="48">
        <f t="shared" si="1326"/>
        <v>0</v>
      </c>
      <c r="EP91" s="62">
        <f t="shared" si="1327"/>
        <v>5349.5999999999995</v>
      </c>
      <c r="EQ91" s="62">
        <f t="shared" si="1327"/>
        <v>0</v>
      </c>
      <c r="ER91" s="62">
        <f t="shared" si="1327"/>
        <v>5349.5999999999995</v>
      </c>
      <c r="ES91" s="62">
        <f t="shared" si="1327"/>
        <v>0</v>
      </c>
      <c r="ET91" s="62">
        <f t="shared" si="1327"/>
        <v>5349.5999999999995</v>
      </c>
      <c r="EU91" s="62">
        <f t="shared" si="1327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28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 t="shared" si="1034"/>
        <v>1</v>
      </c>
      <c r="FS91" s="103" t="b">
        <f t="shared" si="1035"/>
        <v>1</v>
      </c>
      <c r="FT91" s="103" t="b">
        <f t="shared" si="1036"/>
        <v>1</v>
      </c>
      <c r="FU91" s="103" t="b">
        <f t="shared" si="1037"/>
        <v>0</v>
      </c>
      <c r="FV91" s="103" t="b">
        <f t="shared" si="1038"/>
        <v>1</v>
      </c>
      <c r="FW91" s="104" t="b">
        <f t="shared" si="1094"/>
        <v>0</v>
      </c>
      <c r="FX91" s="120" t="b">
        <f t="shared" si="1329"/>
        <v>1</v>
      </c>
      <c r="FY91" s="104" t="s">
        <v>214</v>
      </c>
      <c r="FZ91" s="104" t="b">
        <f t="shared" si="1330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31"/>
        <v>1</v>
      </c>
      <c r="GI91" s="8" t="b">
        <f t="shared" si="1332"/>
        <v>0</v>
      </c>
    </row>
    <row r="92" spans="1:191" s="31" customFormat="1" hidden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35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36">Q92*FH92</f>
        <v>0</v>
      </c>
      <c r="S92" s="94">
        <v>24</v>
      </c>
      <c r="T92" s="94">
        <v>6317.2800000000007</v>
      </c>
      <c r="U92" s="94">
        <f t="shared" ref="U92:U95" si="1337">IFERROR(ROUNDUP(S92/$EX92,0)*$EY92,0)</f>
        <v>1</v>
      </c>
      <c r="V92" s="94">
        <f t="shared" ref="V92:V95" si="1338">SUM(Z92:AD92)</f>
        <v>0</v>
      </c>
      <c r="W92" s="94">
        <f t="shared" ref="W92:W95" si="1339">V92*FH92</f>
        <v>0</v>
      </c>
      <c r="X92" s="94">
        <f t="shared" ref="X92:X95" si="1340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41">AA92*FH92</f>
        <v>0</v>
      </c>
      <c r="AF92" s="95">
        <f t="shared" ref="AF92:AF95" si="1342">AB92*FH92</f>
        <v>0</v>
      </c>
      <c r="AG92" s="96">
        <v>0</v>
      </c>
      <c r="AH92" s="95">
        <f t="shared" ref="AH92:AH95" si="1343">V92-AG92</f>
        <v>0</v>
      </c>
      <c r="AI92" s="94">
        <f t="shared" ref="AI92:AI95" si="1344">IF(AH92&gt;0,AH92*FH92,0)</f>
        <v>0</v>
      </c>
      <c r="AJ92" s="94">
        <f t="shared" ref="AJ92:AJ95" si="1345">CU92</f>
        <v>0</v>
      </c>
      <c r="AK92" s="94">
        <f t="shared" ref="AK92:AK95" si="1346">SUM(CS92:CU92)</f>
        <v>24</v>
      </c>
      <c r="AL92" s="94">
        <f t="shared" ref="AL92:AL95" si="1347">SUM(CP92:CU92)</f>
        <v>2016</v>
      </c>
      <c r="AM92" s="94">
        <f t="shared" ref="AM92:AM95" si="1348">SUM(BK92:BP92)</f>
        <v>7200</v>
      </c>
      <c r="AN92" s="94">
        <f t="shared" ref="AN92:AN95" si="1349">IFERROR(S92/BQ92*30,"нет оборота")</f>
        <v>0.4</v>
      </c>
      <c r="AO92" s="94" t="str">
        <f t="shared" ref="AO92:AO95" si="1350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51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52">IF(AT92="Да",W92,0)</f>
        <v>0</v>
      </c>
      <c r="AX92" s="93"/>
      <c r="AY92" s="94">
        <f t="shared" ref="AY92:AY95" si="1353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54">BE92*FH92</f>
        <v>0</v>
      </c>
      <c r="BG92" s="29">
        <v>0</v>
      </c>
      <c r="BH92" s="29">
        <f t="shared" ref="BH92:BH95" si="1355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56">IF(COUNTIF(BK92:BP92,"&gt;0")=0,0,SUM(BK92:BP92)/COUNTIF(BK92:BP92,"&gt;0"))</f>
        <v>1800</v>
      </c>
      <c r="BR92" s="95">
        <f t="shared" ref="BR92:BR95" si="1357">IF(OR(Q92=0,SUM(BK92:BP92)=0,V92&gt;Q92),V92-BK92,Q92-BK92)</f>
        <v>-1800</v>
      </c>
      <c r="BS92" s="95">
        <f t="shared" ref="BS92:BW95" si="1358">BR92-BL92</f>
        <v>-1800</v>
      </c>
      <c r="BT92" s="95">
        <f t="shared" si="1358"/>
        <v>-1800</v>
      </c>
      <c r="BU92" s="95">
        <f t="shared" si="1358"/>
        <v>-3600</v>
      </c>
      <c r="BV92" s="95">
        <f t="shared" si="1358"/>
        <v>-5400</v>
      </c>
      <c r="BW92" s="95">
        <f t="shared" si="1358"/>
        <v>-7200</v>
      </c>
      <c r="BX92" s="95">
        <f t="shared" ref="BX92:CO94" si="1359">BW92-$BQ92</f>
        <v>-9000</v>
      </c>
      <c r="BY92" s="95">
        <f t="shared" si="1359"/>
        <v>-10800</v>
      </c>
      <c r="BZ92" s="95">
        <f t="shared" si="1359"/>
        <v>-12600</v>
      </c>
      <c r="CA92" s="95">
        <f t="shared" si="1359"/>
        <v>-14400</v>
      </c>
      <c r="CB92" s="95">
        <f t="shared" si="1359"/>
        <v>-16200</v>
      </c>
      <c r="CC92" s="95">
        <f t="shared" si="1359"/>
        <v>-18000</v>
      </c>
      <c r="CD92" s="95">
        <f t="shared" si="1359"/>
        <v>-19800</v>
      </c>
      <c r="CE92" s="95">
        <f t="shared" si="1359"/>
        <v>-21600</v>
      </c>
      <c r="CF92" s="95">
        <f t="shared" si="1359"/>
        <v>-23400</v>
      </c>
      <c r="CG92" s="95">
        <f t="shared" si="1359"/>
        <v>-25200</v>
      </c>
      <c r="CH92" s="95">
        <f t="shared" si="1359"/>
        <v>-27000</v>
      </c>
      <c r="CI92" s="95">
        <f t="shared" si="1359"/>
        <v>-28800</v>
      </c>
      <c r="CJ92" s="95">
        <f t="shared" si="1359"/>
        <v>-30600</v>
      </c>
      <c r="CK92" s="95">
        <f t="shared" si="1359"/>
        <v>-32400</v>
      </c>
      <c r="CL92" s="95">
        <f t="shared" si="1359"/>
        <v>-34200</v>
      </c>
      <c r="CM92" s="95">
        <f t="shared" si="1359"/>
        <v>-36000</v>
      </c>
      <c r="CN92" s="95">
        <f t="shared" si="1359"/>
        <v>-37800</v>
      </c>
      <c r="CO92" s="95">
        <f t="shared" si="1359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60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61">IFERROR(CZ92/CY92,0)</f>
        <v>0</v>
      </c>
      <c r="DB92" s="62">
        <f t="shared" ref="DB92:DB95" si="1362">CY92*FH92</f>
        <v>0</v>
      </c>
      <c r="DC92" s="62">
        <f t="shared" ref="DC92:DC95" si="1363">CZ92*FH92</f>
        <v>0</v>
      </c>
      <c r="DD92" s="102">
        <f t="shared" ref="DD92:DD95" si="1364">IFERROR(DC92/DB92,0)</f>
        <v>0</v>
      </c>
      <c r="DE92" s="31">
        <v>0</v>
      </c>
      <c r="DG92" s="31">
        <v>0</v>
      </c>
      <c r="DH92" s="48">
        <f t="shared" ref="DH92:DH95" si="1365">IFERROR(ROUNDUP(DG92/$EX92,0)*$EY92,0)</f>
        <v>0</v>
      </c>
      <c r="DI92" s="62">
        <v>585.29</v>
      </c>
      <c r="DJ92" s="62">
        <v>154060.88500000001</v>
      </c>
      <c r="DK92" s="48">
        <f t="shared" ref="DK92:DK95" si="1366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67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68">IFERROR(ROUNDUP(DS92/$EX92,0)*$EY92,0)</f>
        <v>1</v>
      </c>
      <c r="DV92" s="62">
        <v>0</v>
      </c>
      <c r="DW92" s="62">
        <v>0</v>
      </c>
      <c r="DX92" s="62">
        <f t="shared" ref="DX92:DX95" si="1369">$DF92*BK92/30</f>
        <v>0</v>
      </c>
      <c r="DY92" s="62">
        <f t="shared" ref="DY92:DY95" si="1370">DX92*$FH92</f>
        <v>0</v>
      </c>
      <c r="DZ92" s="48">
        <f t="shared" ref="DZ92:DZ95" si="1371">IFERROR(ROUNDUP(DX92/$EX92,0)*$EY92,0)</f>
        <v>0</v>
      </c>
      <c r="EA92" s="62">
        <f t="shared" ref="EA92:EA95" si="1372">$DF92*BL92/30</f>
        <v>0</v>
      </c>
      <c r="EB92" s="62">
        <f t="shared" ref="EB92:EB95" si="1373">EA92*$FH92</f>
        <v>0</v>
      </c>
      <c r="EC92" s="48">
        <f t="shared" ref="EC92:EC95" si="1374">IFERROR(ROUNDUP(EA92/$EX92,0)*$EY92,0)</f>
        <v>0</v>
      </c>
      <c r="ED92" s="62">
        <f t="shared" ref="ED92:ED95" si="1375">$DF92*BM92/30</f>
        <v>0</v>
      </c>
      <c r="EE92" s="62">
        <f t="shared" ref="EE92:EE95" si="1376">ED92*$FH92</f>
        <v>0</v>
      </c>
      <c r="EF92" s="48">
        <f t="shared" ref="EF92:EF95" si="1377">IFERROR(ROUNDUP(ED92/$EX92,0)*$EY92,0)</f>
        <v>0</v>
      </c>
      <c r="EG92" s="62">
        <f t="shared" ref="EG92:EG95" si="1378">$DF92*BN92/30</f>
        <v>0</v>
      </c>
      <c r="EH92" s="62">
        <f t="shared" ref="EH92:EH95" si="1379">EG92*$FH92</f>
        <v>0</v>
      </c>
      <c r="EI92" s="48">
        <f t="shared" ref="EI92:EI95" si="1380">IFERROR(ROUNDUP(EG92/$EX92,0)*$EY92,0)</f>
        <v>0</v>
      </c>
      <c r="EJ92" s="62">
        <f t="shared" ref="EJ92:EJ95" si="1381">$DF92*BO92/30</f>
        <v>0</v>
      </c>
      <c r="EK92" s="62">
        <f t="shared" ref="EK92:EK95" si="1382">EJ92*$FH92</f>
        <v>0</v>
      </c>
      <c r="EL92" s="48">
        <f t="shared" ref="EL92:EL95" si="1383">IFERROR(ROUNDUP(EJ92/$EX92,0)*$EY92,0)</f>
        <v>0</v>
      </c>
      <c r="EM92" s="62">
        <f t="shared" ref="EM92:EM95" si="1384">$DF92*BP92/30</f>
        <v>0</v>
      </c>
      <c r="EN92" s="62">
        <f t="shared" ref="EN92:EN95" si="1385">EM92*$FH92</f>
        <v>0</v>
      </c>
      <c r="EO92" s="48">
        <f t="shared" ref="EO92:EO95" si="1386">IFERROR(ROUNDUP(EM92/$EX92,0)*$EY92,0)</f>
        <v>0</v>
      </c>
      <c r="EP92" s="62">
        <f t="shared" ref="EP92:EU95" si="1387">BK92*$FH92</f>
        <v>473796.00000000006</v>
      </c>
      <c r="EQ92" s="62">
        <f t="shared" si="1387"/>
        <v>0</v>
      </c>
      <c r="ER92" s="62">
        <f t="shared" si="1387"/>
        <v>0</v>
      </c>
      <c r="ES92" s="62">
        <f t="shared" si="1387"/>
        <v>473796.00000000006</v>
      </c>
      <c r="ET92" s="62">
        <f t="shared" si="1387"/>
        <v>473796.00000000006</v>
      </c>
      <c r="EU92" s="62">
        <f t="shared" si="1387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88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 t="shared" si="1034"/>
        <v>1</v>
      </c>
      <c r="FS92" s="104" t="b">
        <f t="shared" si="1035"/>
        <v>1</v>
      </c>
      <c r="FT92" s="104" t="b">
        <f t="shared" si="1036"/>
        <v>1</v>
      </c>
      <c r="FU92" s="104" t="b">
        <f t="shared" si="1037"/>
        <v>0</v>
      </c>
      <c r="FV92" s="104" t="b">
        <f t="shared" si="1038"/>
        <v>1</v>
      </c>
      <c r="FW92" s="104" t="b">
        <f t="shared" si="1094"/>
        <v>0</v>
      </c>
      <c r="FX92" s="104" t="b">
        <f t="shared" ref="FX92:FX95" si="1389">EXACT(FQ92,BI92)</f>
        <v>1</v>
      </c>
      <c r="FY92" s="104" t="s">
        <v>214</v>
      </c>
      <c r="FZ92" s="104" t="b">
        <f t="shared" ref="FZ92:FZ95" si="1390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91">EXACT(GD92,C92)</f>
        <v>1</v>
      </c>
      <c r="GI92" s="108" t="b">
        <f t="shared" ref="GI92:GI95" si="1392">EXACT(GG92,G92)</f>
        <v>0</v>
      </c>
    </row>
    <row r="93" spans="1:191" s="31" customFormat="1" hidden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35"/>
        <v>нет минмакс</v>
      </c>
      <c r="Q93" s="95">
        <v>2976</v>
      </c>
      <c r="R93" s="95">
        <f t="shared" ref="R93:R95" si="1393">Q93*FH93</f>
        <v>30623.039999999997</v>
      </c>
      <c r="S93" s="112">
        <v>2976</v>
      </c>
      <c r="T93" s="112">
        <v>30623.039999999997</v>
      </c>
      <c r="U93" s="112">
        <f t="shared" si="1337"/>
        <v>0</v>
      </c>
      <c r="V93" s="113">
        <f t="shared" si="1338"/>
        <v>2976</v>
      </c>
      <c r="W93" s="113">
        <f t="shared" si="1339"/>
        <v>30623.039999999997</v>
      </c>
      <c r="X93" s="113">
        <f t="shared" si="1340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41"/>
        <v>0</v>
      </c>
      <c r="AF93" s="95">
        <f t="shared" si="1342"/>
        <v>0</v>
      </c>
      <c r="AG93" s="114">
        <v>0</v>
      </c>
      <c r="AH93" s="95">
        <f t="shared" si="1343"/>
        <v>2976</v>
      </c>
      <c r="AI93" s="115">
        <f t="shared" si="1344"/>
        <v>30623.039999999997</v>
      </c>
      <c r="AJ93" s="95">
        <f t="shared" si="1345"/>
        <v>0</v>
      </c>
      <c r="AK93" s="95">
        <f t="shared" si="1346"/>
        <v>0</v>
      </c>
      <c r="AL93" s="95">
        <f t="shared" si="1347"/>
        <v>2024</v>
      </c>
      <c r="AM93" s="95">
        <f t="shared" si="1348"/>
        <v>7200</v>
      </c>
      <c r="AN93" s="95">
        <f t="shared" si="1349"/>
        <v>24.8</v>
      </c>
      <c r="AO93" s="95" t="str">
        <f t="shared" si="1350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51"/>
        <v>0-01</v>
      </c>
      <c r="AW93" s="117">
        <f t="shared" si="1352"/>
        <v>0</v>
      </c>
      <c r="AX93" s="118"/>
      <c r="AY93" s="25">
        <f t="shared" si="1353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54"/>
        <v>0</v>
      </c>
      <c r="BG93" s="29">
        <v>0</v>
      </c>
      <c r="BH93" s="29">
        <f t="shared" si="1355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56"/>
        <v>3600</v>
      </c>
      <c r="BR93" s="95">
        <f t="shared" si="1357"/>
        <v>-2424</v>
      </c>
      <c r="BS93" s="95">
        <f t="shared" si="1358"/>
        <v>-2424</v>
      </c>
      <c r="BT93" s="95">
        <f t="shared" si="1358"/>
        <v>-2424</v>
      </c>
      <c r="BU93" s="95">
        <f t="shared" si="1358"/>
        <v>-2424</v>
      </c>
      <c r="BV93" s="95">
        <f t="shared" si="1358"/>
        <v>-2424</v>
      </c>
      <c r="BW93" s="95">
        <f t="shared" si="1358"/>
        <v>-4224</v>
      </c>
      <c r="BX93" s="95">
        <f t="shared" si="1359"/>
        <v>-7824</v>
      </c>
      <c r="BY93" s="95">
        <f t="shared" si="1359"/>
        <v>-11424</v>
      </c>
      <c r="BZ93" s="95">
        <f t="shared" si="1359"/>
        <v>-15024</v>
      </c>
      <c r="CA93" s="95">
        <f t="shared" si="1359"/>
        <v>-18624</v>
      </c>
      <c r="CB93" s="95">
        <f t="shared" si="1359"/>
        <v>-22224</v>
      </c>
      <c r="CC93" s="95">
        <f t="shared" si="1359"/>
        <v>-25824</v>
      </c>
      <c r="CD93" s="95">
        <f t="shared" si="1359"/>
        <v>-29424</v>
      </c>
      <c r="CE93" s="95">
        <f t="shared" si="1359"/>
        <v>-33024</v>
      </c>
      <c r="CF93" s="95">
        <f t="shared" si="1359"/>
        <v>-36624</v>
      </c>
      <c r="CG93" s="95">
        <f t="shared" si="1359"/>
        <v>-40224</v>
      </c>
      <c r="CH93" s="95">
        <f t="shared" si="1359"/>
        <v>-43824</v>
      </c>
      <c r="CI93" s="95">
        <f t="shared" si="1359"/>
        <v>-47424</v>
      </c>
      <c r="CJ93" s="95">
        <f t="shared" si="1359"/>
        <v>-51024</v>
      </c>
      <c r="CK93" s="95">
        <f t="shared" si="1359"/>
        <v>-54624</v>
      </c>
      <c r="CL93" s="95">
        <f t="shared" si="1359"/>
        <v>-58224</v>
      </c>
      <c r="CM93" s="95">
        <f t="shared" si="1359"/>
        <v>-61824</v>
      </c>
      <c r="CN93" s="95">
        <f t="shared" si="1359"/>
        <v>-65424</v>
      </c>
      <c r="CO93" s="95">
        <f t="shared" si="1359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60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61"/>
        <v>0</v>
      </c>
      <c r="DB93" s="62">
        <f t="shared" si="1362"/>
        <v>0</v>
      </c>
      <c r="DC93" s="62">
        <f t="shared" si="1363"/>
        <v>0</v>
      </c>
      <c r="DD93" s="102">
        <f t="shared" si="1364"/>
        <v>0</v>
      </c>
      <c r="DE93" s="31">
        <v>0</v>
      </c>
      <c r="DF93" s="31">
        <v>90</v>
      </c>
      <c r="DG93" s="31">
        <v>0</v>
      </c>
      <c r="DH93" s="48">
        <f t="shared" si="1365"/>
        <v>0</v>
      </c>
      <c r="DI93" s="62">
        <v>4412.4839999999995</v>
      </c>
      <c r="DJ93" s="62">
        <v>45412.63</v>
      </c>
      <c r="DK93" s="48">
        <f t="shared" si="1366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67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68"/>
        <v>0</v>
      </c>
      <c r="DV93" s="62">
        <v>0</v>
      </c>
      <c r="DW93" s="62">
        <v>0</v>
      </c>
      <c r="DX93" s="62">
        <f t="shared" si="1369"/>
        <v>16200</v>
      </c>
      <c r="DY93" s="62">
        <f t="shared" si="1370"/>
        <v>166698</v>
      </c>
      <c r="DZ93" s="48">
        <f t="shared" si="1371"/>
        <v>0</v>
      </c>
      <c r="EA93" s="62">
        <f t="shared" si="1372"/>
        <v>0</v>
      </c>
      <c r="EB93" s="62">
        <f t="shared" si="1373"/>
        <v>0</v>
      </c>
      <c r="EC93" s="48">
        <f t="shared" si="1374"/>
        <v>0</v>
      </c>
      <c r="ED93" s="62">
        <f t="shared" si="1375"/>
        <v>0</v>
      </c>
      <c r="EE93" s="62">
        <f t="shared" si="1376"/>
        <v>0</v>
      </c>
      <c r="EF93" s="48">
        <f t="shared" si="1377"/>
        <v>0</v>
      </c>
      <c r="EG93" s="62">
        <f t="shared" si="1378"/>
        <v>0</v>
      </c>
      <c r="EH93" s="62">
        <f t="shared" si="1379"/>
        <v>0</v>
      </c>
      <c r="EI93" s="48">
        <f t="shared" si="1380"/>
        <v>0</v>
      </c>
      <c r="EJ93" s="62">
        <f t="shared" si="1381"/>
        <v>0</v>
      </c>
      <c r="EK93" s="62">
        <f t="shared" si="1382"/>
        <v>0</v>
      </c>
      <c r="EL93" s="48">
        <f t="shared" si="1383"/>
        <v>0</v>
      </c>
      <c r="EM93" s="62">
        <f t="shared" si="1384"/>
        <v>5400</v>
      </c>
      <c r="EN93" s="62">
        <f t="shared" si="1385"/>
        <v>55565.999999999993</v>
      </c>
      <c r="EO93" s="48">
        <f t="shared" si="1386"/>
        <v>0</v>
      </c>
      <c r="EP93" s="62">
        <f t="shared" si="1387"/>
        <v>55565.999999999993</v>
      </c>
      <c r="EQ93" s="62">
        <f t="shared" si="1387"/>
        <v>0</v>
      </c>
      <c r="ER93" s="62">
        <f t="shared" si="1387"/>
        <v>0</v>
      </c>
      <c r="ES93" s="62">
        <f t="shared" si="1387"/>
        <v>0</v>
      </c>
      <c r="ET93" s="62">
        <f t="shared" si="1387"/>
        <v>0</v>
      </c>
      <c r="EU93" s="62">
        <f t="shared" si="1387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88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 t="shared" si="1034"/>
        <v>1</v>
      </c>
      <c r="FS93" s="103" t="b">
        <f t="shared" si="1035"/>
        <v>0</v>
      </c>
      <c r="FT93" s="103" t="b">
        <f t="shared" si="1036"/>
        <v>1</v>
      </c>
      <c r="FU93" s="103" t="b">
        <f t="shared" si="1037"/>
        <v>0</v>
      </c>
      <c r="FV93" s="103" t="b">
        <f t="shared" si="1038"/>
        <v>1</v>
      </c>
      <c r="FW93" s="104" t="b">
        <f t="shared" si="1094"/>
        <v>0</v>
      </c>
      <c r="FX93" s="120" t="b">
        <f t="shared" si="1389"/>
        <v>1</v>
      </c>
      <c r="FY93" s="104" t="s">
        <v>214</v>
      </c>
      <c r="FZ93" s="104" t="b">
        <f t="shared" si="1390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91"/>
        <v>1</v>
      </c>
      <c r="GI93" s="8" t="b">
        <f t="shared" si="1392"/>
        <v>0</v>
      </c>
    </row>
    <row r="94" spans="1:191" s="31" customFormat="1" hidden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35"/>
        <v>нет минмакс</v>
      </c>
      <c r="Q94" s="95">
        <v>2972</v>
      </c>
      <c r="R94" s="95">
        <f t="shared" si="1393"/>
        <v>30581.879999999997</v>
      </c>
      <c r="S94" s="112">
        <v>2972</v>
      </c>
      <c r="T94" s="112">
        <v>30581.879999999997</v>
      </c>
      <c r="U94" s="112">
        <f t="shared" si="1337"/>
        <v>0</v>
      </c>
      <c r="V94" s="113">
        <f t="shared" si="1338"/>
        <v>2972</v>
      </c>
      <c r="W94" s="113">
        <f t="shared" si="1339"/>
        <v>30581.879999999997</v>
      </c>
      <c r="X94" s="113">
        <f t="shared" si="1340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41"/>
        <v>0</v>
      </c>
      <c r="AF94" s="95">
        <f t="shared" si="1342"/>
        <v>0</v>
      </c>
      <c r="AG94" s="114">
        <v>0</v>
      </c>
      <c r="AH94" s="95">
        <f t="shared" si="1343"/>
        <v>2972</v>
      </c>
      <c r="AI94" s="115">
        <f t="shared" si="1344"/>
        <v>30581.879999999997</v>
      </c>
      <c r="AJ94" s="95">
        <f t="shared" si="1345"/>
        <v>0</v>
      </c>
      <c r="AK94" s="95">
        <f t="shared" si="1346"/>
        <v>0</v>
      </c>
      <c r="AL94" s="95">
        <f t="shared" si="1347"/>
        <v>2028</v>
      </c>
      <c r="AM94" s="95">
        <f t="shared" si="1348"/>
        <v>7200</v>
      </c>
      <c r="AN94" s="95">
        <f t="shared" si="1349"/>
        <v>24.766666666666669</v>
      </c>
      <c r="AO94" s="95" t="str">
        <f t="shared" si="1350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51"/>
        <v>0-01</v>
      </c>
      <c r="AW94" s="117">
        <f t="shared" si="1352"/>
        <v>0</v>
      </c>
      <c r="AX94" s="118"/>
      <c r="AY94" s="25">
        <f t="shared" si="1353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54"/>
        <v>0</v>
      </c>
      <c r="BG94" s="29">
        <v>0</v>
      </c>
      <c r="BH94" s="29">
        <f t="shared" si="1355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56"/>
        <v>3600</v>
      </c>
      <c r="BR94" s="95">
        <f t="shared" si="1357"/>
        <v>-2428</v>
      </c>
      <c r="BS94" s="95">
        <f t="shared" si="1358"/>
        <v>-2428</v>
      </c>
      <c r="BT94" s="95">
        <f t="shared" si="1358"/>
        <v>-2428</v>
      </c>
      <c r="BU94" s="95">
        <f t="shared" si="1358"/>
        <v>-2428</v>
      </c>
      <c r="BV94" s="95">
        <f t="shared" si="1358"/>
        <v>-2428</v>
      </c>
      <c r="BW94" s="95">
        <f t="shared" si="1358"/>
        <v>-4228</v>
      </c>
      <c r="BX94" s="95">
        <f t="shared" si="1359"/>
        <v>-7828</v>
      </c>
      <c r="BY94" s="95">
        <f t="shared" si="1359"/>
        <v>-11428</v>
      </c>
      <c r="BZ94" s="95">
        <f t="shared" si="1359"/>
        <v>-15028</v>
      </c>
      <c r="CA94" s="95">
        <f t="shared" ref="CA94:CO94" si="1394">BZ94-$BQ94</f>
        <v>-18628</v>
      </c>
      <c r="CB94" s="95">
        <f t="shared" si="1394"/>
        <v>-22228</v>
      </c>
      <c r="CC94" s="95">
        <f t="shared" si="1394"/>
        <v>-25828</v>
      </c>
      <c r="CD94" s="95">
        <f t="shared" si="1394"/>
        <v>-29428</v>
      </c>
      <c r="CE94" s="95">
        <f t="shared" si="1394"/>
        <v>-33028</v>
      </c>
      <c r="CF94" s="95">
        <f t="shared" si="1394"/>
        <v>-36628</v>
      </c>
      <c r="CG94" s="95">
        <f t="shared" si="1394"/>
        <v>-40228</v>
      </c>
      <c r="CH94" s="95">
        <f t="shared" si="1394"/>
        <v>-43828</v>
      </c>
      <c r="CI94" s="95">
        <f t="shared" si="1394"/>
        <v>-47428</v>
      </c>
      <c r="CJ94" s="95">
        <f t="shared" si="1394"/>
        <v>-51028</v>
      </c>
      <c r="CK94" s="95">
        <f t="shared" si="1394"/>
        <v>-54628</v>
      </c>
      <c r="CL94" s="95">
        <f t="shared" si="1394"/>
        <v>-58228</v>
      </c>
      <c r="CM94" s="95">
        <f t="shared" si="1394"/>
        <v>-61828</v>
      </c>
      <c r="CN94" s="95">
        <f t="shared" si="1394"/>
        <v>-65428</v>
      </c>
      <c r="CO94" s="95">
        <f t="shared" si="1394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60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61"/>
        <v>0</v>
      </c>
      <c r="DB94" s="62">
        <f t="shared" si="1362"/>
        <v>0</v>
      </c>
      <c r="DC94" s="62">
        <f t="shared" si="1363"/>
        <v>0</v>
      </c>
      <c r="DD94" s="102">
        <f t="shared" si="1364"/>
        <v>0</v>
      </c>
      <c r="DE94" s="31">
        <v>0</v>
      </c>
      <c r="DF94" s="31">
        <v>90</v>
      </c>
      <c r="DG94" s="31">
        <v>0</v>
      </c>
      <c r="DH94" s="48">
        <f t="shared" si="1365"/>
        <v>0</v>
      </c>
      <c r="DI94" s="62">
        <v>4411.4519999999993</v>
      </c>
      <c r="DJ94" s="62">
        <v>45402.004999999997</v>
      </c>
      <c r="DK94" s="48">
        <f t="shared" si="1366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67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68"/>
        <v>0</v>
      </c>
      <c r="DV94" s="62">
        <v>0</v>
      </c>
      <c r="DW94" s="62">
        <v>0</v>
      </c>
      <c r="DX94" s="62">
        <f t="shared" si="1369"/>
        <v>16200</v>
      </c>
      <c r="DY94" s="62">
        <f t="shared" si="1370"/>
        <v>166698</v>
      </c>
      <c r="DZ94" s="48">
        <f t="shared" si="1371"/>
        <v>0</v>
      </c>
      <c r="EA94" s="62">
        <f t="shared" si="1372"/>
        <v>0</v>
      </c>
      <c r="EB94" s="62">
        <f t="shared" si="1373"/>
        <v>0</v>
      </c>
      <c r="EC94" s="48">
        <f t="shared" si="1374"/>
        <v>0</v>
      </c>
      <c r="ED94" s="62">
        <f t="shared" si="1375"/>
        <v>0</v>
      </c>
      <c r="EE94" s="62">
        <f t="shared" si="1376"/>
        <v>0</v>
      </c>
      <c r="EF94" s="48">
        <f t="shared" si="1377"/>
        <v>0</v>
      </c>
      <c r="EG94" s="62">
        <f t="shared" si="1378"/>
        <v>0</v>
      </c>
      <c r="EH94" s="62">
        <f t="shared" si="1379"/>
        <v>0</v>
      </c>
      <c r="EI94" s="48">
        <f t="shared" si="1380"/>
        <v>0</v>
      </c>
      <c r="EJ94" s="62">
        <f t="shared" si="1381"/>
        <v>0</v>
      </c>
      <c r="EK94" s="62">
        <f t="shared" si="1382"/>
        <v>0</v>
      </c>
      <c r="EL94" s="48">
        <f t="shared" si="1383"/>
        <v>0</v>
      </c>
      <c r="EM94" s="62">
        <f t="shared" si="1384"/>
        <v>5400</v>
      </c>
      <c r="EN94" s="62">
        <f t="shared" si="1385"/>
        <v>55565.999999999993</v>
      </c>
      <c r="EO94" s="48">
        <f t="shared" si="1386"/>
        <v>0</v>
      </c>
      <c r="EP94" s="62">
        <f t="shared" si="1387"/>
        <v>55565.999999999993</v>
      </c>
      <c r="EQ94" s="62">
        <f t="shared" si="1387"/>
        <v>0</v>
      </c>
      <c r="ER94" s="62">
        <f t="shared" si="1387"/>
        <v>0</v>
      </c>
      <c r="ES94" s="62">
        <f t="shared" si="1387"/>
        <v>0</v>
      </c>
      <c r="ET94" s="62">
        <f t="shared" si="1387"/>
        <v>0</v>
      </c>
      <c r="EU94" s="62">
        <f t="shared" si="1387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88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 t="shared" si="1034"/>
        <v>1</v>
      </c>
      <c r="FS94" s="103" t="b">
        <f t="shared" si="1035"/>
        <v>0</v>
      </c>
      <c r="FT94" s="103" t="b">
        <f t="shared" si="1036"/>
        <v>1</v>
      </c>
      <c r="FU94" s="103" t="b">
        <f t="shared" si="1037"/>
        <v>0</v>
      </c>
      <c r="FV94" s="103" t="b">
        <f t="shared" si="1038"/>
        <v>1</v>
      </c>
      <c r="FW94" s="104" t="b">
        <f t="shared" si="1094"/>
        <v>0</v>
      </c>
      <c r="FX94" s="120" t="b">
        <f t="shared" si="1389"/>
        <v>1</v>
      </c>
      <c r="FY94" s="104" t="s">
        <v>214</v>
      </c>
      <c r="FZ94" s="104" t="b">
        <f t="shared" si="1390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91"/>
        <v>1</v>
      </c>
      <c r="GI94" s="8" t="b">
        <f t="shared" si="1392"/>
        <v>0</v>
      </c>
    </row>
    <row r="95" spans="1:191" s="31" customFormat="1" hidden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35"/>
        <v>нет минмакс</v>
      </c>
      <c r="Q95" s="95">
        <v>332</v>
      </c>
      <c r="R95" s="95">
        <f t="shared" si="1393"/>
        <v>8021.12</v>
      </c>
      <c r="S95" s="112">
        <v>332</v>
      </c>
      <c r="T95" s="112">
        <v>8021.12</v>
      </c>
      <c r="U95" s="112">
        <f t="shared" si="1337"/>
        <v>0</v>
      </c>
      <c r="V95" s="113">
        <f t="shared" si="1338"/>
        <v>332</v>
      </c>
      <c r="W95" s="113">
        <f t="shared" si="1339"/>
        <v>8021.12</v>
      </c>
      <c r="X95" s="113">
        <f t="shared" si="1340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41"/>
        <v>0</v>
      </c>
      <c r="AF95" s="95">
        <f t="shared" si="1342"/>
        <v>0</v>
      </c>
      <c r="AG95" s="114">
        <v>0</v>
      </c>
      <c r="AH95" s="95">
        <f t="shared" si="1343"/>
        <v>332</v>
      </c>
      <c r="AI95" s="115">
        <f t="shared" si="1344"/>
        <v>8021.12</v>
      </c>
      <c r="AJ95" s="95">
        <f t="shared" si="1345"/>
        <v>0</v>
      </c>
      <c r="AK95" s="95">
        <f t="shared" si="1346"/>
        <v>0</v>
      </c>
      <c r="AL95" s="95">
        <f t="shared" si="1347"/>
        <v>168</v>
      </c>
      <c r="AM95" s="95">
        <f t="shared" si="1348"/>
        <v>600</v>
      </c>
      <c r="AN95" s="95">
        <f t="shared" si="1349"/>
        <v>33.200000000000003</v>
      </c>
      <c r="AO95" s="95" t="str">
        <f t="shared" si="1350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51"/>
        <v>0-01</v>
      </c>
      <c r="AW95" s="117">
        <f t="shared" si="1352"/>
        <v>0</v>
      </c>
      <c r="AX95" s="118"/>
      <c r="AY95" s="25">
        <f t="shared" si="1353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54"/>
        <v>0</v>
      </c>
      <c r="BG95" s="29">
        <v>0</v>
      </c>
      <c r="BH95" s="29">
        <f t="shared" si="1355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56"/>
        <v>300</v>
      </c>
      <c r="BR95" s="95">
        <f t="shared" si="1357"/>
        <v>-118</v>
      </c>
      <c r="BS95" s="95">
        <f t="shared" si="1358"/>
        <v>-118</v>
      </c>
      <c r="BT95" s="95">
        <f t="shared" si="1358"/>
        <v>-118</v>
      </c>
      <c r="BU95" s="95">
        <f t="shared" si="1358"/>
        <v>-118</v>
      </c>
      <c r="BV95" s="95">
        <f t="shared" si="1358"/>
        <v>-118</v>
      </c>
      <c r="BW95" s="95">
        <f t="shared" si="1358"/>
        <v>-268</v>
      </c>
      <c r="BX95" s="95">
        <f t="shared" ref="BX95:CO95" si="1395">BW95-$BQ95</f>
        <v>-568</v>
      </c>
      <c r="BY95" s="95">
        <f t="shared" si="1395"/>
        <v>-868</v>
      </c>
      <c r="BZ95" s="95">
        <f t="shared" si="1395"/>
        <v>-1168</v>
      </c>
      <c r="CA95" s="95">
        <f t="shared" si="1395"/>
        <v>-1468</v>
      </c>
      <c r="CB95" s="95">
        <f t="shared" si="1395"/>
        <v>-1768</v>
      </c>
      <c r="CC95" s="95">
        <f t="shared" si="1395"/>
        <v>-2068</v>
      </c>
      <c r="CD95" s="95">
        <f t="shared" si="1395"/>
        <v>-2368</v>
      </c>
      <c r="CE95" s="95">
        <f t="shared" si="1395"/>
        <v>-2668</v>
      </c>
      <c r="CF95" s="95">
        <f t="shared" si="1395"/>
        <v>-2968</v>
      </c>
      <c r="CG95" s="95">
        <f t="shared" si="1395"/>
        <v>-3268</v>
      </c>
      <c r="CH95" s="95">
        <f t="shared" si="1395"/>
        <v>-3568</v>
      </c>
      <c r="CI95" s="95">
        <f t="shared" si="1395"/>
        <v>-3868</v>
      </c>
      <c r="CJ95" s="95">
        <f t="shared" si="1395"/>
        <v>-4168</v>
      </c>
      <c r="CK95" s="95">
        <f t="shared" si="1395"/>
        <v>-4468</v>
      </c>
      <c r="CL95" s="95">
        <f t="shared" si="1395"/>
        <v>-4768</v>
      </c>
      <c r="CM95" s="95">
        <f t="shared" si="1395"/>
        <v>-5068</v>
      </c>
      <c r="CN95" s="95">
        <f t="shared" si="1395"/>
        <v>-5368</v>
      </c>
      <c r="CO95" s="95">
        <f t="shared" si="1395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60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61"/>
        <v>0</v>
      </c>
      <c r="DB95" s="62">
        <f t="shared" si="1362"/>
        <v>0</v>
      </c>
      <c r="DC95" s="62">
        <f t="shared" si="1363"/>
        <v>0</v>
      </c>
      <c r="DD95" s="102">
        <f t="shared" si="1364"/>
        <v>0</v>
      </c>
      <c r="DE95" s="31">
        <v>0</v>
      </c>
      <c r="DF95" s="31">
        <v>90</v>
      </c>
      <c r="DG95" s="31">
        <v>0</v>
      </c>
      <c r="DH95" s="48">
        <f t="shared" si="1365"/>
        <v>0</v>
      </c>
      <c r="DI95" s="62">
        <v>451.226</v>
      </c>
      <c r="DJ95" s="62">
        <v>10900.352000000001</v>
      </c>
      <c r="DK95" s="48">
        <f t="shared" si="1366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67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68"/>
        <v>0</v>
      </c>
      <c r="DV95" s="62">
        <v>0</v>
      </c>
      <c r="DW95" s="62">
        <v>0</v>
      </c>
      <c r="DX95" s="62">
        <f t="shared" si="1369"/>
        <v>1350</v>
      </c>
      <c r="DY95" s="62">
        <f t="shared" si="1370"/>
        <v>32616</v>
      </c>
      <c r="DZ95" s="48">
        <f t="shared" si="1371"/>
        <v>0</v>
      </c>
      <c r="EA95" s="62">
        <f t="shared" si="1372"/>
        <v>0</v>
      </c>
      <c r="EB95" s="62">
        <f t="shared" si="1373"/>
        <v>0</v>
      </c>
      <c r="EC95" s="48">
        <f t="shared" si="1374"/>
        <v>0</v>
      </c>
      <c r="ED95" s="62">
        <f t="shared" si="1375"/>
        <v>0</v>
      </c>
      <c r="EE95" s="62">
        <f t="shared" si="1376"/>
        <v>0</v>
      </c>
      <c r="EF95" s="48">
        <f t="shared" si="1377"/>
        <v>0</v>
      </c>
      <c r="EG95" s="62">
        <f t="shared" si="1378"/>
        <v>0</v>
      </c>
      <c r="EH95" s="62">
        <f t="shared" si="1379"/>
        <v>0</v>
      </c>
      <c r="EI95" s="48">
        <f t="shared" si="1380"/>
        <v>0</v>
      </c>
      <c r="EJ95" s="62">
        <f t="shared" si="1381"/>
        <v>0</v>
      </c>
      <c r="EK95" s="62">
        <f t="shared" si="1382"/>
        <v>0</v>
      </c>
      <c r="EL95" s="48">
        <f t="shared" si="1383"/>
        <v>0</v>
      </c>
      <c r="EM95" s="62">
        <f t="shared" si="1384"/>
        <v>450</v>
      </c>
      <c r="EN95" s="62">
        <f t="shared" si="1385"/>
        <v>10872</v>
      </c>
      <c r="EO95" s="48">
        <f t="shared" si="1386"/>
        <v>0</v>
      </c>
      <c r="EP95" s="62">
        <f t="shared" si="1387"/>
        <v>10872</v>
      </c>
      <c r="EQ95" s="62">
        <f t="shared" si="1387"/>
        <v>0</v>
      </c>
      <c r="ER95" s="62">
        <f t="shared" si="1387"/>
        <v>0</v>
      </c>
      <c r="ES95" s="62">
        <f t="shared" si="1387"/>
        <v>0</v>
      </c>
      <c r="ET95" s="62">
        <f t="shared" si="1387"/>
        <v>0</v>
      </c>
      <c r="EU95" s="62">
        <f t="shared" si="1387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88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 t="shared" si="1034"/>
        <v>1</v>
      </c>
      <c r="FS95" s="103" t="b">
        <f t="shared" si="1035"/>
        <v>0</v>
      </c>
      <c r="FT95" s="103" t="b">
        <f t="shared" si="1036"/>
        <v>1</v>
      </c>
      <c r="FU95" s="103" t="b">
        <f t="shared" si="1037"/>
        <v>0</v>
      </c>
      <c r="FV95" s="103" t="b">
        <f t="shared" si="1038"/>
        <v>1</v>
      </c>
      <c r="FW95" s="104" t="b">
        <f t="shared" si="1094"/>
        <v>0</v>
      </c>
      <c r="FX95" s="120" t="b">
        <f t="shared" si="1389"/>
        <v>1</v>
      </c>
      <c r="FY95" s="104" t="s">
        <v>214</v>
      </c>
      <c r="FZ95" s="104" t="b">
        <f t="shared" si="1390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91"/>
        <v>1</v>
      </c>
      <c r="GI95" s="8" t="b">
        <f t="shared" si="1392"/>
        <v>0</v>
      </c>
    </row>
    <row r="96" spans="1:191" s="31" customFormat="1" hidden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96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97">Q96*FH96</f>
        <v>1584791.6</v>
      </c>
      <c r="S96" s="94">
        <v>0</v>
      </c>
      <c r="T96" s="94">
        <v>0</v>
      </c>
      <c r="U96" s="94">
        <f t="shared" ref="U96:U97" si="1398">IFERROR(ROUNDUP(S96/$EX96,0)*$EY96,0)</f>
        <v>0</v>
      </c>
      <c r="V96" s="94">
        <f t="shared" ref="V96:V97" si="1399">SUM(Z96:AD96)</f>
        <v>17</v>
      </c>
      <c r="W96" s="94">
        <f t="shared" ref="W96:W97" si="1400">V96*FH96</f>
        <v>1347072.86</v>
      </c>
      <c r="X96" s="94">
        <f t="shared" ref="X96:X97" si="1401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402">AA96*FH96</f>
        <v>0</v>
      </c>
      <c r="AF96" s="95">
        <f t="shared" ref="AF96:AF97" si="1403">AB96*FH96</f>
        <v>0</v>
      </c>
      <c r="AG96" s="96">
        <v>0</v>
      </c>
      <c r="AH96" s="95">
        <f t="shared" ref="AH96:AH97" si="1404">V96-AG96</f>
        <v>17</v>
      </c>
      <c r="AI96" s="94">
        <f t="shared" ref="AI96:AI97" si="1405">IF(AH96&gt;0,AH96*FH96,0)</f>
        <v>1347072.86</v>
      </c>
      <c r="AJ96" s="94">
        <f t="shared" ref="AJ96:AJ97" si="1406">CU96</f>
        <v>0</v>
      </c>
      <c r="AK96" s="94">
        <f t="shared" ref="AK96:AK97" si="1407">SUM(CS96:CU96)</f>
        <v>68</v>
      </c>
      <c r="AL96" s="94">
        <f t="shared" ref="AL96:AL97" si="1408">SUM(CP96:CU96)</f>
        <v>124</v>
      </c>
      <c r="AM96" s="94">
        <f t="shared" ref="AM96:AM97" si="1409">SUM(BK96:BP96)</f>
        <v>180</v>
      </c>
      <c r="AN96" s="94">
        <f t="shared" ref="AN96:AN97" si="1410">IFERROR(S96/BQ96*30,"нет оборота")</f>
        <v>0</v>
      </c>
      <c r="AO96" s="94" t="str">
        <f t="shared" ref="AO96:AO97" si="1411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12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13">IF(AT96="Да",W96,0)</f>
        <v>0</v>
      </c>
      <c r="AX96" s="93"/>
      <c r="AY96" s="94">
        <f t="shared" ref="AY96:AY97" si="1414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15">BE96*FH96</f>
        <v>0</v>
      </c>
      <c r="BG96" s="29">
        <v>0</v>
      </c>
      <c r="BH96" s="29">
        <f t="shared" ref="BH96:BH97" si="1416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17">IF(COUNTIF(BK96:BP96,"&gt;0")=0,0,SUM(BK96:BP96)/COUNTIF(BK96:BP96,"&gt;0"))</f>
        <v>30</v>
      </c>
      <c r="BR96" s="95">
        <f t="shared" ref="BR96:BR97" si="1418">IF(OR(Q96=0,SUM(BK96:BP96)=0,V96&gt;Q96),V96-BK96,Q96-BK96)</f>
        <v>-10</v>
      </c>
      <c r="BS96" s="95">
        <f t="shared" ref="BS96:BW97" si="1419">BR96-BL96</f>
        <v>-40</v>
      </c>
      <c r="BT96" s="95">
        <f t="shared" si="1419"/>
        <v>-70</v>
      </c>
      <c r="BU96" s="95">
        <f t="shared" si="1419"/>
        <v>-100</v>
      </c>
      <c r="BV96" s="95">
        <f t="shared" si="1419"/>
        <v>-130</v>
      </c>
      <c r="BW96" s="95">
        <f t="shared" si="1419"/>
        <v>-160</v>
      </c>
      <c r="BX96" s="95">
        <f t="shared" ref="BX96:CO97" si="1420">BW96-$BQ96</f>
        <v>-190</v>
      </c>
      <c r="BY96" s="95">
        <f t="shared" si="1420"/>
        <v>-220</v>
      </c>
      <c r="BZ96" s="95">
        <f t="shared" si="1420"/>
        <v>-250</v>
      </c>
      <c r="CA96" s="95">
        <f t="shared" si="1420"/>
        <v>-280</v>
      </c>
      <c r="CB96" s="95">
        <f t="shared" si="1420"/>
        <v>-310</v>
      </c>
      <c r="CC96" s="95">
        <f t="shared" si="1420"/>
        <v>-340</v>
      </c>
      <c r="CD96" s="95">
        <f t="shared" si="1420"/>
        <v>-370</v>
      </c>
      <c r="CE96" s="95">
        <f t="shared" si="1420"/>
        <v>-400</v>
      </c>
      <c r="CF96" s="95">
        <f t="shared" si="1420"/>
        <v>-430</v>
      </c>
      <c r="CG96" s="95">
        <f t="shared" si="1420"/>
        <v>-460</v>
      </c>
      <c r="CH96" s="95">
        <f t="shared" si="1420"/>
        <v>-490</v>
      </c>
      <c r="CI96" s="95">
        <f t="shared" si="1420"/>
        <v>-520</v>
      </c>
      <c r="CJ96" s="95">
        <f t="shared" si="1420"/>
        <v>-550</v>
      </c>
      <c r="CK96" s="95">
        <f t="shared" si="1420"/>
        <v>-580</v>
      </c>
      <c r="CL96" s="95">
        <f t="shared" si="1420"/>
        <v>-610</v>
      </c>
      <c r="CM96" s="95">
        <f t="shared" si="1420"/>
        <v>-640</v>
      </c>
      <c r="CN96" s="95">
        <f t="shared" si="1420"/>
        <v>-670</v>
      </c>
      <c r="CO96" s="95">
        <f t="shared" si="1420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21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22">IFERROR(CZ96/CY96,0)</f>
        <v>3.4</v>
      </c>
      <c r="DB96" s="62">
        <f t="shared" ref="DB96:DB97" si="1423">CY96*FH96</f>
        <v>1584791.6</v>
      </c>
      <c r="DC96" s="62">
        <f t="shared" ref="DC96:DC97" si="1424">CZ96*FH96</f>
        <v>5388291.4400000004</v>
      </c>
      <c r="DD96" s="102">
        <f t="shared" ref="DD96:DD97" si="1425">IFERROR(DC96/DB96,0)</f>
        <v>3.4</v>
      </c>
      <c r="DE96" s="31">
        <v>0</v>
      </c>
      <c r="DG96" s="31">
        <v>0</v>
      </c>
      <c r="DH96" s="48">
        <f t="shared" ref="DH96:DH97" si="1426">IFERROR(ROUNDUP(DG96/$EX96,0)*$EY96,0)</f>
        <v>0</v>
      </c>
      <c r="DI96" s="62">
        <v>20</v>
      </c>
      <c r="DJ96" s="62">
        <v>1487707.38</v>
      </c>
      <c r="DK96" s="48">
        <f t="shared" ref="DK96:DK97" si="1427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28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29">IFERROR(ROUNDUP(DS96/$EX96,0)*$EY96,0)</f>
        <v>24</v>
      </c>
      <c r="DV96" s="62">
        <v>68</v>
      </c>
      <c r="DW96" s="62">
        <v>5578988.2136363639</v>
      </c>
      <c r="DX96" s="62">
        <f t="shared" ref="DX96:DX97" si="1430">$DF96*BK96/30</f>
        <v>0</v>
      </c>
      <c r="DY96" s="62">
        <f t="shared" ref="DY96:DY97" si="1431">DX96*$FH96</f>
        <v>0</v>
      </c>
      <c r="DZ96" s="48">
        <f t="shared" ref="DZ96:DZ97" si="1432">IFERROR(ROUNDUP(DX96/$EX96,0)*$EY96,0)</f>
        <v>0</v>
      </c>
      <c r="EA96" s="62">
        <f t="shared" ref="EA96:EA97" si="1433">$DF96*BL96/30</f>
        <v>0</v>
      </c>
      <c r="EB96" s="62">
        <f t="shared" ref="EB96:EB97" si="1434">EA96*$FH96</f>
        <v>0</v>
      </c>
      <c r="EC96" s="48">
        <f t="shared" ref="EC96:EC97" si="1435">IFERROR(ROUNDUP(EA96/$EX96,0)*$EY96,0)</f>
        <v>0</v>
      </c>
      <c r="ED96" s="62">
        <f t="shared" ref="ED96:ED97" si="1436">$DF96*BM96/30</f>
        <v>0</v>
      </c>
      <c r="EE96" s="62">
        <f t="shared" ref="EE96:EE97" si="1437">ED96*$FH96</f>
        <v>0</v>
      </c>
      <c r="EF96" s="48">
        <f t="shared" ref="EF96:EF97" si="1438">IFERROR(ROUNDUP(ED96/$EX96,0)*$EY96,0)</f>
        <v>0</v>
      </c>
      <c r="EG96" s="62">
        <f t="shared" ref="EG96:EG97" si="1439">$DF96*BN96/30</f>
        <v>0</v>
      </c>
      <c r="EH96" s="62">
        <f t="shared" ref="EH96:EH97" si="1440">EG96*$FH96</f>
        <v>0</v>
      </c>
      <c r="EI96" s="48">
        <f t="shared" ref="EI96:EI97" si="1441">IFERROR(ROUNDUP(EG96/$EX96,0)*$EY96,0)</f>
        <v>0</v>
      </c>
      <c r="EJ96" s="62">
        <f t="shared" ref="EJ96:EJ97" si="1442">$DF96*BO96/30</f>
        <v>0</v>
      </c>
      <c r="EK96" s="62">
        <f t="shared" ref="EK96:EK97" si="1443">EJ96*$FH96</f>
        <v>0</v>
      </c>
      <c r="EL96" s="48">
        <f t="shared" ref="EL96:EL97" si="1444">IFERROR(ROUNDUP(EJ96/$EX96,0)*$EY96,0)</f>
        <v>0</v>
      </c>
      <c r="EM96" s="62">
        <f t="shared" ref="EM96:EM97" si="1445">$DF96*BP96/30</f>
        <v>0</v>
      </c>
      <c r="EN96" s="62">
        <f t="shared" ref="EN96:EN97" si="1446">EM96*$FH96</f>
        <v>0</v>
      </c>
      <c r="EO96" s="48">
        <f t="shared" ref="EO96:EO97" si="1447">IFERROR(ROUNDUP(EM96/$EX96,0)*$EY96,0)</f>
        <v>0</v>
      </c>
      <c r="EP96" s="62">
        <f t="shared" ref="EP96:EU97" si="1448">BK96*$FH96</f>
        <v>2377187.4</v>
      </c>
      <c r="EQ96" s="62">
        <f t="shared" si="1448"/>
        <v>2377187.4</v>
      </c>
      <c r="ER96" s="62">
        <f t="shared" si="1448"/>
        <v>2377187.4</v>
      </c>
      <c r="ES96" s="62">
        <f t="shared" si="1448"/>
        <v>2377187.4</v>
      </c>
      <c r="ET96" s="62">
        <f t="shared" si="1448"/>
        <v>2377187.4</v>
      </c>
      <c r="EU96" s="62">
        <f t="shared" si="1448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49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 t="shared" si="1034"/>
        <v>1</v>
      </c>
      <c r="FS96" s="104" t="b">
        <f t="shared" si="1035"/>
        <v>1</v>
      </c>
      <c r="FT96" s="104" t="b">
        <f t="shared" si="1036"/>
        <v>1</v>
      </c>
      <c r="FU96" s="104" t="b">
        <f t="shared" si="1037"/>
        <v>0</v>
      </c>
      <c r="FV96" s="104" t="b">
        <f t="shared" si="1038"/>
        <v>1</v>
      </c>
      <c r="FW96" s="104" t="b">
        <f t="shared" si="1094"/>
        <v>0</v>
      </c>
      <c r="FX96" s="104" t="b">
        <f t="shared" ref="FX96:FX97" si="1450">EXACT(FQ96,BI96)</f>
        <v>1</v>
      </c>
      <c r="FY96" s="104" t="s">
        <v>214</v>
      </c>
      <c r="FZ96" s="104" t="b">
        <f t="shared" ref="FZ96:FZ97" si="1451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52">EXACT(GD96,C96)</f>
        <v>1</v>
      </c>
      <c r="GI96" s="108" t="b">
        <f t="shared" ref="GI96:GI97" si="1453">EXACT(GG96,G96)</f>
        <v>0</v>
      </c>
    </row>
    <row r="97" spans="1:193" s="31" customFormat="1" ht="30" hidden="1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96"/>
        <v>больше макс</v>
      </c>
      <c r="Q97" s="95">
        <v>396</v>
      </c>
      <c r="R97" s="95">
        <f t="shared" si="1397"/>
        <v>39421.799999999996</v>
      </c>
      <c r="S97" s="112">
        <v>418</v>
      </c>
      <c r="T97" s="112">
        <v>41152.1</v>
      </c>
      <c r="U97" s="112">
        <f t="shared" si="1398"/>
        <v>0</v>
      </c>
      <c r="V97" s="113">
        <f t="shared" si="1399"/>
        <v>251</v>
      </c>
      <c r="W97" s="113">
        <f t="shared" si="1400"/>
        <v>24987.05</v>
      </c>
      <c r="X97" s="113">
        <f t="shared" si="1401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402"/>
        <v>0</v>
      </c>
      <c r="AF97" s="95">
        <f t="shared" si="1403"/>
        <v>0</v>
      </c>
      <c r="AG97" s="114">
        <v>0</v>
      </c>
      <c r="AH97" s="95">
        <f t="shared" si="1404"/>
        <v>251</v>
      </c>
      <c r="AI97" s="115">
        <f t="shared" si="1405"/>
        <v>24987.05</v>
      </c>
      <c r="AJ97" s="95">
        <f t="shared" si="1406"/>
        <v>0</v>
      </c>
      <c r="AK97" s="95">
        <f t="shared" si="1407"/>
        <v>22</v>
      </c>
      <c r="AL97" s="95">
        <f t="shared" si="1408"/>
        <v>96</v>
      </c>
      <c r="AM97" s="95">
        <f t="shared" si="1409"/>
        <v>160</v>
      </c>
      <c r="AN97" s="95">
        <f t="shared" si="1410"/>
        <v>470.24999999999994</v>
      </c>
      <c r="AO97" s="95" t="str">
        <f t="shared" si="1411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12"/>
        <v>0-15</v>
      </c>
      <c r="AW97" s="117">
        <f t="shared" si="1413"/>
        <v>24987.05</v>
      </c>
      <c r="AX97" s="14">
        <f>MONTH(BC97)-6</f>
        <v>3</v>
      </c>
      <c r="AY97" s="25">
        <f t="shared" si="1414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15"/>
        <v>0</v>
      </c>
      <c r="BG97" s="29">
        <v>0</v>
      </c>
      <c r="BH97" s="29">
        <f t="shared" si="1416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17"/>
        <v>26.666666666666668</v>
      </c>
      <c r="BR97" s="95">
        <f t="shared" si="1418"/>
        <v>370</v>
      </c>
      <c r="BS97" s="95">
        <f t="shared" si="1419"/>
        <v>344</v>
      </c>
      <c r="BT97" s="95">
        <f t="shared" si="1419"/>
        <v>318</v>
      </c>
      <c r="BU97" s="95">
        <f t="shared" si="1419"/>
        <v>292</v>
      </c>
      <c r="BV97" s="95">
        <f t="shared" si="1419"/>
        <v>266</v>
      </c>
      <c r="BW97" s="95">
        <f t="shared" si="1419"/>
        <v>236</v>
      </c>
      <c r="BX97" s="95">
        <f t="shared" si="1420"/>
        <v>209.33333333333334</v>
      </c>
      <c r="BY97" s="95">
        <f t="shared" si="1420"/>
        <v>182.66666666666669</v>
      </c>
      <c r="BZ97" s="95">
        <f t="shared" si="1420"/>
        <v>156.00000000000003</v>
      </c>
      <c r="CA97" s="95">
        <f t="shared" si="1420"/>
        <v>129.33333333333337</v>
      </c>
      <c r="CB97" s="95">
        <f t="shared" si="1420"/>
        <v>102.6666666666667</v>
      </c>
      <c r="CC97" s="95">
        <f t="shared" si="1420"/>
        <v>76.000000000000028</v>
      </c>
      <c r="CD97" s="95">
        <f t="shared" si="1420"/>
        <v>49.333333333333357</v>
      </c>
      <c r="CE97" s="95">
        <f t="shared" si="1420"/>
        <v>22.666666666666689</v>
      </c>
      <c r="CF97" s="95">
        <f t="shared" si="1420"/>
        <v>-3.9999999999999787</v>
      </c>
      <c r="CG97" s="95">
        <f t="shared" si="1420"/>
        <v>-30.666666666666647</v>
      </c>
      <c r="CH97" s="95">
        <f t="shared" si="1420"/>
        <v>-57.333333333333314</v>
      </c>
      <c r="CI97" s="95">
        <f t="shared" si="1420"/>
        <v>-83.999999999999986</v>
      </c>
      <c r="CJ97" s="95">
        <f t="shared" si="1420"/>
        <v>-110.66666666666666</v>
      </c>
      <c r="CK97" s="95">
        <f t="shared" si="1420"/>
        <v>-137.33333333333331</v>
      </c>
      <c r="CL97" s="95">
        <f t="shared" si="1420"/>
        <v>-163.99999999999997</v>
      </c>
      <c r="CM97" s="95">
        <f t="shared" si="1420"/>
        <v>-190.66666666666663</v>
      </c>
      <c r="CN97" s="95">
        <f t="shared" si="1420"/>
        <v>-217.33333333333329</v>
      </c>
      <c r="CO97" s="95">
        <f t="shared" si="1420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21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22"/>
        <v>0</v>
      </c>
      <c r="DB97" s="62">
        <f t="shared" si="1423"/>
        <v>0</v>
      </c>
      <c r="DC97" s="62">
        <f t="shared" si="1424"/>
        <v>0</v>
      </c>
      <c r="DD97" s="102">
        <f t="shared" si="1425"/>
        <v>0</v>
      </c>
      <c r="DE97" s="31">
        <v>0</v>
      </c>
      <c r="DF97" s="31">
        <v>90</v>
      </c>
      <c r="DG97" s="31">
        <v>0</v>
      </c>
      <c r="DH97" s="48">
        <f t="shared" si="1426"/>
        <v>0</v>
      </c>
      <c r="DI97" s="62">
        <v>292</v>
      </c>
      <c r="DJ97" s="62">
        <v>26550.35</v>
      </c>
      <c r="DK97" s="48">
        <f t="shared" si="1427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28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29"/>
        <v>0</v>
      </c>
      <c r="DV97" s="62">
        <v>0</v>
      </c>
      <c r="DW97" s="62">
        <v>0</v>
      </c>
      <c r="DX97" s="62">
        <f t="shared" si="1430"/>
        <v>78</v>
      </c>
      <c r="DY97" s="62">
        <f t="shared" si="1431"/>
        <v>7764.9</v>
      </c>
      <c r="DZ97" s="48">
        <f t="shared" si="1432"/>
        <v>0</v>
      </c>
      <c r="EA97" s="62">
        <f t="shared" si="1433"/>
        <v>78</v>
      </c>
      <c r="EB97" s="62">
        <f t="shared" si="1434"/>
        <v>7764.9</v>
      </c>
      <c r="EC97" s="48">
        <f t="shared" si="1435"/>
        <v>0</v>
      </c>
      <c r="ED97" s="62">
        <f t="shared" si="1436"/>
        <v>78</v>
      </c>
      <c r="EE97" s="62">
        <f t="shared" si="1437"/>
        <v>7764.9</v>
      </c>
      <c r="EF97" s="48">
        <f t="shared" si="1438"/>
        <v>0</v>
      </c>
      <c r="EG97" s="62">
        <f t="shared" si="1439"/>
        <v>78</v>
      </c>
      <c r="EH97" s="62">
        <f t="shared" si="1440"/>
        <v>7764.9</v>
      </c>
      <c r="EI97" s="48">
        <f t="shared" si="1441"/>
        <v>0</v>
      </c>
      <c r="EJ97" s="62">
        <f t="shared" si="1442"/>
        <v>78</v>
      </c>
      <c r="EK97" s="62">
        <f t="shared" si="1443"/>
        <v>7764.9</v>
      </c>
      <c r="EL97" s="48">
        <f t="shared" si="1444"/>
        <v>0</v>
      </c>
      <c r="EM97" s="62">
        <f t="shared" si="1445"/>
        <v>90</v>
      </c>
      <c r="EN97" s="62">
        <f t="shared" si="1446"/>
        <v>8959.5</v>
      </c>
      <c r="EO97" s="48">
        <f t="shared" si="1447"/>
        <v>0</v>
      </c>
      <c r="EP97" s="62">
        <f t="shared" si="1448"/>
        <v>2588.2999999999997</v>
      </c>
      <c r="EQ97" s="62">
        <f t="shared" si="1448"/>
        <v>2588.2999999999997</v>
      </c>
      <c r="ER97" s="62">
        <f t="shared" si="1448"/>
        <v>2588.2999999999997</v>
      </c>
      <c r="ES97" s="62">
        <f t="shared" si="1448"/>
        <v>2588.2999999999997</v>
      </c>
      <c r="ET97" s="62">
        <f t="shared" si="1448"/>
        <v>2588.2999999999997</v>
      </c>
      <c r="EU97" s="62">
        <f t="shared" si="1448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49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 t="shared" si="1034"/>
        <v>1</v>
      </c>
      <c r="FS97" s="103" t="b">
        <f t="shared" si="1035"/>
        <v>1</v>
      </c>
      <c r="FT97" s="103" t="b">
        <f t="shared" si="1036"/>
        <v>1</v>
      </c>
      <c r="FU97" s="103" t="b">
        <f t="shared" si="1037"/>
        <v>0</v>
      </c>
      <c r="FV97" s="103" t="b">
        <f t="shared" si="1038"/>
        <v>1</v>
      </c>
      <c r="FW97" s="104" t="b">
        <f t="shared" si="1094"/>
        <v>0</v>
      </c>
      <c r="FX97" s="120" t="b">
        <f t="shared" si="1450"/>
        <v>1</v>
      </c>
      <c r="FY97" s="104" t="s">
        <v>214</v>
      </c>
      <c r="FZ97" s="104" t="b">
        <f t="shared" si="1451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52"/>
        <v>1</v>
      </c>
      <c r="GI97" s="8" t="b">
        <f t="shared" si="1453"/>
        <v>0</v>
      </c>
    </row>
    <row r="98" spans="1:193" s="31" customFormat="1" ht="30" hidden="1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54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55">Q98*FH98</f>
        <v>177432.25999999998</v>
      </c>
      <c r="S98" s="115">
        <v>5400</v>
      </c>
      <c r="T98" s="115">
        <v>177498</v>
      </c>
      <c r="U98" s="115">
        <f t="shared" ref="U98:U108" si="1456">IFERROR(ROUNDUP(S98/$EX98,0)*$EY98,0)</f>
        <v>10</v>
      </c>
      <c r="V98" s="115">
        <f t="shared" ref="V98:V108" si="1457">SUM(Z98:AD98)</f>
        <v>5398</v>
      </c>
      <c r="W98" s="115">
        <f t="shared" ref="W98:W108" si="1458">V98*FH98</f>
        <v>177432.25999999998</v>
      </c>
      <c r="X98" s="115">
        <f t="shared" ref="X98:X108" si="1459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60">AA98*FH98</f>
        <v>0</v>
      </c>
      <c r="AF98" s="95">
        <f t="shared" ref="AF98:AF108" si="1461">AB98*FH98</f>
        <v>0</v>
      </c>
      <c r="AG98" s="114">
        <v>0</v>
      </c>
      <c r="AH98" s="95">
        <f t="shared" ref="AH98:AH108" si="1462">V98-AG98</f>
        <v>5398</v>
      </c>
      <c r="AI98" s="115">
        <f t="shared" ref="AI98:AI108" si="1463">IF(AH98&gt;0,AH98*FH98,0)</f>
        <v>177432.25999999998</v>
      </c>
      <c r="AJ98" s="115">
        <f t="shared" ref="AJ98:AJ108" si="1464">CU98</f>
        <v>0</v>
      </c>
      <c r="AK98" s="115">
        <f t="shared" ref="AK98:AK100" si="1465">SUM(CS98:CU98)</f>
        <v>2</v>
      </c>
      <c r="AL98" s="115">
        <f t="shared" ref="AL98:AL108" si="1466">SUM(CP98:CU98)</f>
        <v>2</v>
      </c>
      <c r="AM98" s="115">
        <f t="shared" ref="AM98:AM108" si="1467">SUM(BK98:BP98)</f>
        <v>0</v>
      </c>
      <c r="AN98" s="95" t="str">
        <f t="shared" ref="AN98:AN108" si="1468">IFERROR(S98/BQ98*30,"нет оборота")</f>
        <v>нет оборота</v>
      </c>
      <c r="AO98" s="95" t="str">
        <f t="shared" ref="AO98:AO108" si="1469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70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71">IF(AT98="Да",W98,0)</f>
        <v>177432.25999999998</v>
      </c>
      <c r="AX98" s="14">
        <f t="shared" ref="AX98" si="1472">MONTH(BC98)-6</f>
        <v>3</v>
      </c>
      <c r="AY98" s="115">
        <f t="shared" ref="AY98:AY108" si="1473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74">BE98*FH98</f>
        <v>0</v>
      </c>
      <c r="BG98" s="29">
        <v>0</v>
      </c>
      <c r="BH98" s="29">
        <f t="shared" ref="BH98:BH108" si="1475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76">IF(COUNTIF(BK98:BP98,"&gt;0")=0,0,SUM(BK98:BP98)/COUNTIF(BK98:BP98,"&gt;0"))</f>
        <v>0</v>
      </c>
      <c r="BR98" s="95">
        <f t="shared" ref="BR98:BR108" si="1477">IF(OR(Q98=0,SUM(BK98:BP98)=0,V98&gt;Q98),V98-BK98,Q98-BK98)</f>
        <v>5398</v>
      </c>
      <c r="BS98" s="95">
        <f t="shared" ref="BS98:BW98" si="1478">BR98-BL98</f>
        <v>5398</v>
      </c>
      <c r="BT98" s="95">
        <f t="shared" si="1478"/>
        <v>5398</v>
      </c>
      <c r="BU98" s="95">
        <f t="shared" si="1478"/>
        <v>5398</v>
      </c>
      <c r="BV98" s="95">
        <f t="shared" si="1478"/>
        <v>5398</v>
      </c>
      <c r="BW98" s="95">
        <f t="shared" si="1478"/>
        <v>5398</v>
      </c>
      <c r="BX98" s="95">
        <f t="shared" ref="BX98:CO103" si="1479">BW98-$BQ98</f>
        <v>5398</v>
      </c>
      <c r="BY98" s="95">
        <f t="shared" si="1479"/>
        <v>5398</v>
      </c>
      <c r="BZ98" s="95">
        <f t="shared" si="1479"/>
        <v>5398</v>
      </c>
      <c r="CA98" s="95">
        <f t="shared" si="1479"/>
        <v>5398</v>
      </c>
      <c r="CB98" s="95">
        <f t="shared" si="1479"/>
        <v>5398</v>
      </c>
      <c r="CC98" s="95">
        <f t="shared" si="1479"/>
        <v>5398</v>
      </c>
      <c r="CD98" s="95">
        <f t="shared" si="1479"/>
        <v>5398</v>
      </c>
      <c r="CE98" s="95">
        <f t="shared" si="1479"/>
        <v>5398</v>
      </c>
      <c r="CF98" s="95">
        <f t="shared" si="1479"/>
        <v>5398</v>
      </c>
      <c r="CG98" s="95">
        <f t="shared" si="1479"/>
        <v>5398</v>
      </c>
      <c r="CH98" s="95">
        <f t="shared" si="1479"/>
        <v>5398</v>
      </c>
      <c r="CI98" s="95">
        <f t="shared" si="1479"/>
        <v>5398</v>
      </c>
      <c r="CJ98" s="95">
        <f t="shared" si="1479"/>
        <v>5398</v>
      </c>
      <c r="CK98" s="95">
        <f t="shared" si="1479"/>
        <v>5398</v>
      </c>
      <c r="CL98" s="95">
        <f t="shared" si="1479"/>
        <v>5398</v>
      </c>
      <c r="CM98" s="95">
        <f t="shared" si="1479"/>
        <v>5398</v>
      </c>
      <c r="CN98" s="95">
        <f t="shared" si="1479"/>
        <v>5398</v>
      </c>
      <c r="CO98" s="95">
        <f t="shared" si="1479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80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81">IFERROR(CZ98/CY98,0)</f>
        <v>0</v>
      </c>
      <c r="DB98" s="62">
        <f t="shared" ref="DB98:DB108" si="1482">CY98*FH98</f>
        <v>0</v>
      </c>
      <c r="DC98" s="62">
        <f t="shared" ref="DC98:DC108" si="1483">CZ98*FH98</f>
        <v>0</v>
      </c>
      <c r="DD98" s="102">
        <f t="shared" ref="DD98:DD108" si="1484">IFERROR(DC98/DB98,0)</f>
        <v>0</v>
      </c>
      <c r="DE98" s="31">
        <v>0</v>
      </c>
      <c r="DG98" s="31">
        <v>0</v>
      </c>
      <c r="DH98" s="48">
        <f t="shared" ref="DH98:DH108" si="1485">IFERROR(ROUNDUP(DG98/$EX98,0)*$EY98,0)</f>
        <v>0</v>
      </c>
      <c r="DI98" s="62">
        <v>5400</v>
      </c>
      <c r="DJ98" s="62">
        <v>177474.48</v>
      </c>
      <c r="DK98" s="48">
        <f t="shared" ref="DK98:DK108" si="1486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87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88">IFERROR(ROUNDUP(DS98/$EX98,0)*$EY98,0)</f>
        <v>10</v>
      </c>
      <c r="DV98" s="62">
        <v>0</v>
      </c>
      <c r="DW98" s="62">
        <v>0</v>
      </c>
      <c r="DX98" s="62">
        <f t="shared" ref="DX98:DX108" si="1489">$DF98*BK98/30</f>
        <v>0</v>
      </c>
      <c r="DY98" s="62">
        <f t="shared" ref="DY98:DY108" si="1490">DX98*$FH98</f>
        <v>0</v>
      </c>
      <c r="DZ98" s="48">
        <f t="shared" ref="DZ98:DZ108" si="1491">IFERROR(ROUNDUP(DX98/$EX98,0)*$EY98,0)</f>
        <v>0</v>
      </c>
      <c r="EA98" s="62">
        <f t="shared" ref="EA98:EA108" si="1492">$DF98*BL98/30</f>
        <v>0</v>
      </c>
      <c r="EB98" s="62">
        <f t="shared" ref="EB98:EB108" si="1493">EA98*$FH98</f>
        <v>0</v>
      </c>
      <c r="EC98" s="48">
        <f t="shared" ref="EC98:EC108" si="1494">IFERROR(ROUNDUP(EA98/$EX98,0)*$EY98,0)</f>
        <v>0</v>
      </c>
      <c r="ED98" s="62">
        <f t="shared" ref="ED98:ED108" si="1495">$DF98*BM98/30</f>
        <v>0</v>
      </c>
      <c r="EE98" s="62">
        <f t="shared" ref="EE98:EE108" si="1496">ED98*$FH98</f>
        <v>0</v>
      </c>
      <c r="EF98" s="48">
        <f t="shared" ref="EF98:EF108" si="1497">IFERROR(ROUNDUP(ED98/$EX98,0)*$EY98,0)</f>
        <v>0</v>
      </c>
      <c r="EG98" s="62">
        <f t="shared" ref="EG98:EG108" si="1498">$DF98*BN98/30</f>
        <v>0</v>
      </c>
      <c r="EH98" s="62">
        <f t="shared" ref="EH98:EH108" si="1499">EG98*$FH98</f>
        <v>0</v>
      </c>
      <c r="EI98" s="48">
        <f t="shared" ref="EI98:EI108" si="1500">IFERROR(ROUNDUP(EG98/$EX98,0)*$EY98,0)</f>
        <v>0</v>
      </c>
      <c r="EJ98" s="62">
        <f t="shared" ref="EJ98:EJ108" si="1501">$DF98*BO98/30</f>
        <v>0</v>
      </c>
      <c r="EK98" s="62">
        <f t="shared" ref="EK98:EK108" si="1502">EJ98*$FH98</f>
        <v>0</v>
      </c>
      <c r="EL98" s="48">
        <f t="shared" ref="EL98:EL108" si="1503">IFERROR(ROUNDUP(EJ98/$EX98,0)*$EY98,0)</f>
        <v>0</v>
      </c>
      <c r="EM98" s="62">
        <f t="shared" ref="EM98:EM108" si="1504">$DF98*BP98/30</f>
        <v>0</v>
      </c>
      <c r="EN98" s="62">
        <f t="shared" ref="EN98:EN108" si="1505">EM98*$FH98</f>
        <v>0</v>
      </c>
      <c r="EO98" s="48">
        <f t="shared" ref="EO98:EO108" si="1506">IFERROR(ROUNDUP(EM98/$EX98,0)*$EY98,0)</f>
        <v>0</v>
      </c>
      <c r="EP98" s="62">
        <f t="shared" ref="EP98:ER108" si="1507">BK98*$FH98</f>
        <v>0</v>
      </c>
      <c r="EQ98" s="62">
        <f t="shared" si="1507"/>
        <v>0</v>
      </c>
      <c r="ER98" s="62">
        <f t="shared" si="1507"/>
        <v>0</v>
      </c>
      <c r="ES98" s="62">
        <f t="shared" ref="ES98:EU108" si="1508">BN98*$FH98</f>
        <v>0</v>
      </c>
      <c r="ET98" s="62">
        <f t="shared" si="1508"/>
        <v>0</v>
      </c>
      <c r="EU98" s="62">
        <f t="shared" si="1508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509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 t="shared" si="1034"/>
        <v>1</v>
      </c>
      <c r="FS98" s="120" t="b">
        <f t="shared" si="1035"/>
        <v>1</v>
      </c>
      <c r="FT98" s="120" t="b">
        <f t="shared" si="1036"/>
        <v>1</v>
      </c>
      <c r="FU98" s="120" t="b">
        <f t="shared" si="1037"/>
        <v>1</v>
      </c>
      <c r="FV98" s="120" t="b">
        <f t="shared" si="1038"/>
        <v>1</v>
      </c>
      <c r="FW98" s="104" t="b">
        <f t="shared" si="1094"/>
        <v>0</v>
      </c>
      <c r="FX98" s="120" t="b">
        <f t="shared" ref="FX98:FX108" si="1510">EXACT(FQ98,BI98)</f>
        <v>1</v>
      </c>
      <c r="FY98" s="104" t="s">
        <v>230</v>
      </c>
      <c r="FZ98" s="104" t="b">
        <f t="shared" ref="FZ98:FZ108" si="1511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12">EXACT(GD98,C98)</f>
        <v>1</v>
      </c>
      <c r="GI98" s="8" t="b">
        <f t="shared" ref="GI98:GI108" si="1513">EXACT(GG98,G98)</f>
        <v>0</v>
      </c>
      <c r="GJ98" s="31" t="s">
        <v>203</v>
      </c>
      <c r="GK98" s="31">
        <v>1</v>
      </c>
    </row>
    <row r="99" spans="1:193" s="31" customFormat="1" ht="30" hidden="1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54"/>
        <v>нет минмакс</v>
      </c>
      <c r="Q99" s="95">
        <v>0</v>
      </c>
      <c r="R99" s="95">
        <f t="shared" si="1455"/>
        <v>0</v>
      </c>
      <c r="S99" s="94">
        <v>0</v>
      </c>
      <c r="T99" s="94">
        <v>0</v>
      </c>
      <c r="U99" s="94">
        <f t="shared" si="1456"/>
        <v>0</v>
      </c>
      <c r="V99" s="94">
        <f t="shared" si="1457"/>
        <v>0</v>
      </c>
      <c r="W99" s="94">
        <f t="shared" si="1458"/>
        <v>0</v>
      </c>
      <c r="X99" s="94">
        <f t="shared" si="1459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60"/>
        <v>0</v>
      </c>
      <c r="AF99" s="95">
        <f t="shared" si="1461"/>
        <v>0</v>
      </c>
      <c r="AG99" s="96">
        <v>0</v>
      </c>
      <c r="AH99" s="95">
        <f t="shared" si="1462"/>
        <v>0</v>
      </c>
      <c r="AI99" s="94">
        <f t="shared" si="1463"/>
        <v>0</v>
      </c>
      <c r="AJ99" s="94">
        <f t="shared" si="1464"/>
        <v>0</v>
      </c>
      <c r="AK99" s="94">
        <f t="shared" si="1465"/>
        <v>0</v>
      </c>
      <c r="AL99" s="94">
        <f t="shared" si="1466"/>
        <v>0</v>
      </c>
      <c r="AM99" s="94">
        <f t="shared" si="1467"/>
        <v>0</v>
      </c>
      <c r="AN99" s="94" t="str">
        <f t="shared" si="1468"/>
        <v>нет оборота</v>
      </c>
      <c r="AO99" s="94" t="str">
        <f t="shared" si="1469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70"/>
        <v>нет остатка</v>
      </c>
      <c r="AW99" s="98">
        <f t="shared" si="1471"/>
        <v>0</v>
      </c>
      <c r="AX99" s="93"/>
      <c r="AY99" s="94">
        <f t="shared" si="1473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74"/>
        <v>0</v>
      </c>
      <c r="BG99" s="29">
        <v>0</v>
      </c>
      <c r="BH99" s="29">
        <f t="shared" si="1475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76"/>
        <v>0</v>
      </c>
      <c r="BR99" s="95">
        <f t="shared" si="1477"/>
        <v>0</v>
      </c>
      <c r="BS99" s="95">
        <f t="shared" ref="BS99:BW108" si="1514">BR99-BL99</f>
        <v>0</v>
      </c>
      <c r="BT99" s="95">
        <f t="shared" si="1514"/>
        <v>0</v>
      </c>
      <c r="BU99" s="95">
        <f t="shared" si="1514"/>
        <v>0</v>
      </c>
      <c r="BV99" s="95">
        <f t="shared" si="1514"/>
        <v>0</v>
      </c>
      <c r="BW99" s="95">
        <f t="shared" si="1514"/>
        <v>0</v>
      </c>
      <c r="BX99" s="95">
        <f t="shared" si="1479"/>
        <v>0</v>
      </c>
      <c r="BY99" s="95">
        <f t="shared" si="1479"/>
        <v>0</v>
      </c>
      <c r="BZ99" s="95">
        <f t="shared" si="1479"/>
        <v>0</v>
      </c>
      <c r="CA99" s="95">
        <f t="shared" si="1479"/>
        <v>0</v>
      </c>
      <c r="CB99" s="95">
        <f t="shared" si="1479"/>
        <v>0</v>
      </c>
      <c r="CC99" s="95">
        <f t="shared" si="1479"/>
        <v>0</v>
      </c>
      <c r="CD99" s="95">
        <f t="shared" si="1479"/>
        <v>0</v>
      </c>
      <c r="CE99" s="95">
        <f t="shared" si="1479"/>
        <v>0</v>
      </c>
      <c r="CF99" s="95">
        <f t="shared" si="1479"/>
        <v>0</v>
      </c>
      <c r="CG99" s="95">
        <f t="shared" si="1479"/>
        <v>0</v>
      </c>
      <c r="CH99" s="95">
        <f t="shared" si="1479"/>
        <v>0</v>
      </c>
      <c r="CI99" s="95">
        <f t="shared" si="1479"/>
        <v>0</v>
      </c>
      <c r="CJ99" s="95">
        <f t="shared" si="1479"/>
        <v>0</v>
      </c>
      <c r="CK99" s="95">
        <f t="shared" si="1479"/>
        <v>0</v>
      </c>
      <c r="CL99" s="95">
        <f t="shared" si="1479"/>
        <v>0</v>
      </c>
      <c r="CM99" s="95">
        <f t="shared" si="1479"/>
        <v>0</v>
      </c>
      <c r="CN99" s="95">
        <f t="shared" si="1479"/>
        <v>0</v>
      </c>
      <c r="CO99" s="95">
        <f t="shared" si="1479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80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81"/>
        <v>0</v>
      </c>
      <c r="DB99" s="62">
        <f t="shared" si="1482"/>
        <v>0</v>
      </c>
      <c r="DC99" s="62">
        <f t="shared" si="1483"/>
        <v>0</v>
      </c>
      <c r="DD99" s="102">
        <f t="shared" si="1484"/>
        <v>0</v>
      </c>
      <c r="DE99" s="31">
        <v>0</v>
      </c>
      <c r="DG99" s="31">
        <v>0</v>
      </c>
      <c r="DH99" s="48">
        <f t="shared" si="1485"/>
        <v>0</v>
      </c>
      <c r="DI99" s="62">
        <v>0</v>
      </c>
      <c r="DJ99" s="62">
        <v>0</v>
      </c>
      <c r="DK99" s="48">
        <f t="shared" si="1486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87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88"/>
        <v>0</v>
      </c>
      <c r="DV99" s="62">
        <v>0</v>
      </c>
      <c r="DW99" s="62">
        <v>0</v>
      </c>
      <c r="DX99" s="62">
        <f t="shared" si="1489"/>
        <v>0</v>
      </c>
      <c r="DY99" s="62">
        <f t="shared" si="1490"/>
        <v>0</v>
      </c>
      <c r="DZ99" s="48">
        <f t="shared" si="1491"/>
        <v>0</v>
      </c>
      <c r="EA99" s="62">
        <f t="shared" si="1492"/>
        <v>0</v>
      </c>
      <c r="EB99" s="62">
        <f t="shared" si="1493"/>
        <v>0</v>
      </c>
      <c r="EC99" s="48">
        <f t="shared" si="1494"/>
        <v>0</v>
      </c>
      <c r="ED99" s="62">
        <f t="shared" si="1495"/>
        <v>0</v>
      </c>
      <c r="EE99" s="62">
        <f t="shared" si="1496"/>
        <v>0</v>
      </c>
      <c r="EF99" s="48">
        <f t="shared" si="1497"/>
        <v>0</v>
      </c>
      <c r="EG99" s="62">
        <f t="shared" si="1498"/>
        <v>0</v>
      </c>
      <c r="EH99" s="62">
        <f t="shared" si="1499"/>
        <v>0</v>
      </c>
      <c r="EI99" s="48">
        <f t="shared" si="1500"/>
        <v>0</v>
      </c>
      <c r="EJ99" s="62">
        <f t="shared" si="1501"/>
        <v>0</v>
      </c>
      <c r="EK99" s="62">
        <f t="shared" si="1502"/>
        <v>0</v>
      </c>
      <c r="EL99" s="48">
        <f t="shared" si="1503"/>
        <v>0</v>
      </c>
      <c r="EM99" s="62">
        <f t="shared" si="1504"/>
        <v>0</v>
      </c>
      <c r="EN99" s="62">
        <f t="shared" si="1505"/>
        <v>0</v>
      </c>
      <c r="EO99" s="48">
        <f t="shared" si="1506"/>
        <v>0</v>
      </c>
      <c r="EP99" s="62">
        <f t="shared" si="1507"/>
        <v>0</v>
      </c>
      <c r="EQ99" s="62">
        <f t="shared" si="1507"/>
        <v>0</v>
      </c>
      <c r="ER99" s="62">
        <f t="shared" si="1507"/>
        <v>0</v>
      </c>
      <c r="ES99" s="62">
        <f t="shared" si="1508"/>
        <v>0</v>
      </c>
      <c r="ET99" s="62">
        <f t="shared" si="1508"/>
        <v>0</v>
      </c>
      <c r="EU99" s="62">
        <f t="shared" si="1508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509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 t="shared" si="1034"/>
        <v>0</v>
      </c>
      <c r="FS99" s="104" t="b">
        <f t="shared" si="1035"/>
        <v>1</v>
      </c>
      <c r="FT99" s="104" t="b">
        <f t="shared" si="1036"/>
        <v>0</v>
      </c>
      <c r="FU99" s="104" t="b">
        <f t="shared" si="1037"/>
        <v>0</v>
      </c>
      <c r="FV99" s="104" t="b">
        <f t="shared" si="1038"/>
        <v>1</v>
      </c>
      <c r="FW99" s="104" t="b">
        <f t="shared" si="1094"/>
        <v>0</v>
      </c>
      <c r="FX99" s="104" t="b">
        <f t="shared" si="1510"/>
        <v>1</v>
      </c>
      <c r="FY99" s="104" t="s">
        <v>230</v>
      </c>
      <c r="FZ99" s="104" t="b">
        <f t="shared" si="1511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12"/>
        <v>0</v>
      </c>
      <c r="GI99" s="108" t="b">
        <f t="shared" si="1513"/>
        <v>0</v>
      </c>
      <c r="GJ99" s="31" t="s">
        <v>203</v>
      </c>
    </row>
    <row r="100" spans="1:193" s="31" customFormat="1" ht="30" hidden="1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54"/>
        <v>нет минмакс</v>
      </c>
      <c r="Q100" s="95">
        <v>496</v>
      </c>
      <c r="R100" s="95">
        <f t="shared" si="1455"/>
        <v>124858.08</v>
      </c>
      <c r="S100" s="112">
        <v>496</v>
      </c>
      <c r="T100" s="112">
        <v>124858.08</v>
      </c>
      <c r="U100" s="112">
        <f t="shared" si="1456"/>
        <v>1</v>
      </c>
      <c r="V100" s="113">
        <f t="shared" si="1457"/>
        <v>496</v>
      </c>
      <c r="W100" s="113">
        <f t="shared" si="1458"/>
        <v>124858.08</v>
      </c>
      <c r="X100" s="113">
        <f t="shared" si="1459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60"/>
        <v>0</v>
      </c>
      <c r="AF100" s="95">
        <f t="shared" si="1461"/>
        <v>0</v>
      </c>
      <c r="AG100" s="114">
        <v>0</v>
      </c>
      <c r="AH100" s="95">
        <f t="shared" si="1462"/>
        <v>496</v>
      </c>
      <c r="AI100" s="115">
        <f t="shared" si="1463"/>
        <v>124858.08</v>
      </c>
      <c r="AJ100" s="95">
        <f t="shared" si="1464"/>
        <v>0</v>
      </c>
      <c r="AK100" s="95">
        <f t="shared" si="1465"/>
        <v>0</v>
      </c>
      <c r="AL100" s="95">
        <f t="shared" si="1466"/>
        <v>0</v>
      </c>
      <c r="AM100" s="95">
        <f t="shared" si="1467"/>
        <v>0</v>
      </c>
      <c r="AN100" s="95" t="str">
        <f t="shared" si="1468"/>
        <v>нет оборота</v>
      </c>
      <c r="AO100" s="95" t="str">
        <f t="shared" si="1469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70"/>
        <v>Нет планов</v>
      </c>
      <c r="AW100" s="117">
        <f t="shared" si="1471"/>
        <v>124858.08</v>
      </c>
      <c r="AX100" s="14">
        <f t="shared" ref="AX100:AX102" si="1515">MONTH(BC100)-6</f>
        <v>3</v>
      </c>
      <c r="AY100" s="25">
        <f t="shared" si="1473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74"/>
        <v>0</v>
      </c>
      <c r="BG100" s="29">
        <v>0</v>
      </c>
      <c r="BH100" s="29">
        <f t="shared" si="1475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76"/>
        <v>0</v>
      </c>
      <c r="BR100" s="95">
        <f t="shared" si="1477"/>
        <v>496</v>
      </c>
      <c r="BS100" s="95">
        <f t="shared" si="1514"/>
        <v>496</v>
      </c>
      <c r="BT100" s="95">
        <f t="shared" si="1514"/>
        <v>496</v>
      </c>
      <c r="BU100" s="95">
        <f t="shared" si="1514"/>
        <v>496</v>
      </c>
      <c r="BV100" s="95">
        <f t="shared" si="1514"/>
        <v>496</v>
      </c>
      <c r="BW100" s="95">
        <f t="shared" si="1514"/>
        <v>496</v>
      </c>
      <c r="BX100" s="95">
        <f t="shared" si="1479"/>
        <v>496</v>
      </c>
      <c r="BY100" s="95">
        <f t="shared" si="1479"/>
        <v>496</v>
      </c>
      <c r="BZ100" s="95">
        <f t="shared" si="1479"/>
        <v>496</v>
      </c>
      <c r="CA100" s="95">
        <f t="shared" si="1479"/>
        <v>496</v>
      </c>
      <c r="CB100" s="95">
        <f t="shared" si="1479"/>
        <v>496</v>
      </c>
      <c r="CC100" s="95">
        <f t="shared" si="1479"/>
        <v>496</v>
      </c>
      <c r="CD100" s="95">
        <f t="shared" si="1479"/>
        <v>496</v>
      </c>
      <c r="CE100" s="95">
        <f t="shared" si="1479"/>
        <v>496</v>
      </c>
      <c r="CF100" s="95">
        <f t="shared" si="1479"/>
        <v>496</v>
      </c>
      <c r="CG100" s="95">
        <f t="shared" si="1479"/>
        <v>496</v>
      </c>
      <c r="CH100" s="95">
        <f t="shared" si="1479"/>
        <v>496</v>
      </c>
      <c r="CI100" s="95">
        <f t="shared" si="1479"/>
        <v>496</v>
      </c>
      <c r="CJ100" s="95">
        <f t="shared" si="1479"/>
        <v>496</v>
      </c>
      <c r="CK100" s="95">
        <f t="shared" si="1479"/>
        <v>496</v>
      </c>
      <c r="CL100" s="95">
        <f t="shared" si="1479"/>
        <v>496</v>
      </c>
      <c r="CM100" s="95">
        <f t="shared" si="1479"/>
        <v>496</v>
      </c>
      <c r="CN100" s="95">
        <f t="shared" si="1479"/>
        <v>496</v>
      </c>
      <c r="CO100" s="95">
        <f t="shared" si="1479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80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81"/>
        <v>0</v>
      </c>
      <c r="DB100" s="62">
        <f t="shared" si="1482"/>
        <v>0</v>
      </c>
      <c r="DC100" s="62">
        <f t="shared" si="1483"/>
        <v>0</v>
      </c>
      <c r="DD100" s="102">
        <f t="shared" si="1484"/>
        <v>0</v>
      </c>
      <c r="DE100" s="31">
        <v>0</v>
      </c>
      <c r="DF100" s="31">
        <v>30</v>
      </c>
      <c r="DG100" s="31">
        <v>0</v>
      </c>
      <c r="DH100" s="48">
        <f t="shared" si="1485"/>
        <v>0</v>
      </c>
      <c r="DI100" s="62">
        <v>496</v>
      </c>
      <c r="DJ100" s="62">
        <v>124858.02</v>
      </c>
      <c r="DK100" s="48">
        <f t="shared" si="1486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87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88"/>
        <v>1</v>
      </c>
      <c r="DV100" s="62">
        <v>0</v>
      </c>
      <c r="DW100" s="62">
        <v>0</v>
      </c>
      <c r="DX100" s="62">
        <f t="shared" si="1489"/>
        <v>0</v>
      </c>
      <c r="DY100" s="62">
        <f t="shared" si="1490"/>
        <v>0</v>
      </c>
      <c r="DZ100" s="48">
        <f t="shared" si="1491"/>
        <v>0</v>
      </c>
      <c r="EA100" s="62">
        <f t="shared" si="1492"/>
        <v>0</v>
      </c>
      <c r="EB100" s="62">
        <f t="shared" si="1493"/>
        <v>0</v>
      </c>
      <c r="EC100" s="48">
        <f t="shared" si="1494"/>
        <v>0</v>
      </c>
      <c r="ED100" s="62">
        <f t="shared" si="1495"/>
        <v>0</v>
      </c>
      <c r="EE100" s="62">
        <f t="shared" si="1496"/>
        <v>0</v>
      </c>
      <c r="EF100" s="48">
        <f t="shared" si="1497"/>
        <v>0</v>
      </c>
      <c r="EG100" s="62">
        <f t="shared" si="1498"/>
        <v>0</v>
      </c>
      <c r="EH100" s="62">
        <f t="shared" si="1499"/>
        <v>0</v>
      </c>
      <c r="EI100" s="48">
        <f t="shared" si="1500"/>
        <v>0</v>
      </c>
      <c r="EJ100" s="62">
        <f t="shared" si="1501"/>
        <v>0</v>
      </c>
      <c r="EK100" s="62">
        <f t="shared" si="1502"/>
        <v>0</v>
      </c>
      <c r="EL100" s="48">
        <f t="shared" si="1503"/>
        <v>0</v>
      </c>
      <c r="EM100" s="62">
        <f t="shared" si="1504"/>
        <v>0</v>
      </c>
      <c r="EN100" s="62">
        <f t="shared" si="1505"/>
        <v>0</v>
      </c>
      <c r="EO100" s="48">
        <f t="shared" si="1506"/>
        <v>0</v>
      </c>
      <c r="EP100" s="62">
        <f t="shared" si="1507"/>
        <v>0</v>
      </c>
      <c r="EQ100" s="62">
        <f t="shared" si="1507"/>
        <v>0</v>
      </c>
      <c r="ER100" s="62">
        <f t="shared" si="1507"/>
        <v>0</v>
      </c>
      <c r="ES100" s="62">
        <f t="shared" si="1508"/>
        <v>0</v>
      </c>
      <c r="ET100" s="62">
        <f t="shared" si="1508"/>
        <v>0</v>
      </c>
      <c r="EU100" s="62">
        <f t="shared" si="1508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509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 t="shared" si="1034"/>
        <v>1</v>
      </c>
      <c r="FS100" s="103" t="b">
        <f t="shared" si="1035"/>
        <v>1</v>
      </c>
      <c r="FT100" s="103" t="b">
        <f t="shared" si="1036"/>
        <v>1</v>
      </c>
      <c r="FU100" s="103" t="b">
        <f t="shared" si="1037"/>
        <v>0</v>
      </c>
      <c r="FV100" s="103" t="b">
        <f t="shared" si="1038"/>
        <v>1</v>
      </c>
      <c r="FW100" s="104" t="b">
        <f t="shared" si="1094"/>
        <v>0</v>
      </c>
      <c r="FX100" s="120" t="b">
        <f t="shared" si="1510"/>
        <v>1</v>
      </c>
      <c r="FY100" s="104" t="s">
        <v>230</v>
      </c>
      <c r="FZ100" s="104" t="b">
        <f t="shared" si="1511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12"/>
        <v>1</v>
      </c>
      <c r="GI100" s="8" t="b">
        <f t="shared" si="1513"/>
        <v>0</v>
      </c>
      <c r="GJ100" s="31" t="s">
        <v>203</v>
      </c>
      <c r="GK100" s="31">
        <v>1</v>
      </c>
    </row>
    <row r="101" spans="1:193" s="31" customFormat="1" ht="30" hidden="1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54"/>
        <v>больше макс</v>
      </c>
      <c r="Q101" s="95">
        <v>6000</v>
      </c>
      <c r="R101" s="95">
        <f t="shared" si="1455"/>
        <v>36120</v>
      </c>
      <c r="S101" s="112">
        <v>5000</v>
      </c>
      <c r="T101" s="112">
        <v>24400</v>
      </c>
      <c r="U101" s="112">
        <f t="shared" si="1456"/>
        <v>0</v>
      </c>
      <c r="V101" s="113">
        <f t="shared" si="1457"/>
        <v>6000</v>
      </c>
      <c r="W101" s="113">
        <f t="shared" si="1458"/>
        <v>36120</v>
      </c>
      <c r="X101" s="113">
        <f t="shared" si="1459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60"/>
        <v>0</v>
      </c>
      <c r="AF101" s="95">
        <f t="shared" si="1461"/>
        <v>0</v>
      </c>
      <c r="AG101" s="114">
        <v>0</v>
      </c>
      <c r="AH101" s="95">
        <f t="shared" si="1462"/>
        <v>6000</v>
      </c>
      <c r="AI101" s="115">
        <f t="shared" si="1463"/>
        <v>36120</v>
      </c>
      <c r="AJ101" s="95">
        <f t="shared" si="1464"/>
        <v>0</v>
      </c>
      <c r="AK101" s="95">
        <f t="shared" ref="AK101:AK108" si="1516">SUM(CS101:CU101)</f>
        <v>0</v>
      </c>
      <c r="AL101" s="95">
        <f t="shared" si="1466"/>
        <v>0</v>
      </c>
      <c r="AM101" s="95">
        <f t="shared" si="1467"/>
        <v>0</v>
      </c>
      <c r="AN101" s="95" t="str">
        <f t="shared" si="1468"/>
        <v>нет оборота</v>
      </c>
      <c r="AO101" s="95" t="str">
        <f t="shared" si="1469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70"/>
        <v>Нет планов</v>
      </c>
      <c r="AW101" s="117">
        <f t="shared" si="1471"/>
        <v>36120</v>
      </c>
      <c r="AX101" s="14">
        <f t="shared" si="1515"/>
        <v>3</v>
      </c>
      <c r="AY101" s="25">
        <f t="shared" si="1473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74"/>
        <v>0</v>
      </c>
      <c r="BG101" s="29">
        <v>0</v>
      </c>
      <c r="BH101" s="29">
        <f t="shared" si="1475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76"/>
        <v>0</v>
      </c>
      <c r="BR101" s="95">
        <f t="shared" si="1477"/>
        <v>6000</v>
      </c>
      <c r="BS101" s="95">
        <f t="shared" si="1514"/>
        <v>6000</v>
      </c>
      <c r="BT101" s="95">
        <f t="shared" si="1514"/>
        <v>6000</v>
      </c>
      <c r="BU101" s="95">
        <f t="shared" si="1514"/>
        <v>6000</v>
      </c>
      <c r="BV101" s="95">
        <f t="shared" si="1514"/>
        <v>6000</v>
      </c>
      <c r="BW101" s="95">
        <f t="shared" si="1514"/>
        <v>6000</v>
      </c>
      <c r="BX101" s="95">
        <f t="shared" si="1479"/>
        <v>6000</v>
      </c>
      <c r="BY101" s="95">
        <f t="shared" si="1479"/>
        <v>6000</v>
      </c>
      <c r="BZ101" s="95">
        <f t="shared" si="1479"/>
        <v>6000</v>
      </c>
      <c r="CA101" s="95">
        <f t="shared" si="1479"/>
        <v>6000</v>
      </c>
      <c r="CB101" s="95">
        <f t="shared" si="1479"/>
        <v>6000</v>
      </c>
      <c r="CC101" s="95">
        <f t="shared" si="1479"/>
        <v>6000</v>
      </c>
      <c r="CD101" s="95">
        <f t="shared" si="1479"/>
        <v>6000</v>
      </c>
      <c r="CE101" s="95">
        <f t="shared" si="1479"/>
        <v>6000</v>
      </c>
      <c r="CF101" s="95">
        <f t="shared" si="1479"/>
        <v>6000</v>
      </c>
      <c r="CG101" s="95">
        <f t="shared" si="1479"/>
        <v>6000</v>
      </c>
      <c r="CH101" s="95">
        <f t="shared" si="1479"/>
        <v>6000</v>
      </c>
      <c r="CI101" s="95">
        <f t="shared" si="1479"/>
        <v>6000</v>
      </c>
      <c r="CJ101" s="95">
        <f t="shared" si="1479"/>
        <v>6000</v>
      </c>
      <c r="CK101" s="95">
        <f t="shared" si="1479"/>
        <v>6000</v>
      </c>
      <c r="CL101" s="95">
        <f t="shared" si="1479"/>
        <v>6000</v>
      </c>
      <c r="CM101" s="95">
        <f t="shared" si="1479"/>
        <v>6000</v>
      </c>
      <c r="CN101" s="95">
        <f t="shared" si="1479"/>
        <v>6000</v>
      </c>
      <c r="CO101" s="95">
        <f t="shared" si="1479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80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81"/>
        <v>0</v>
      </c>
      <c r="DB101" s="62">
        <f t="shared" si="1482"/>
        <v>0</v>
      </c>
      <c r="DC101" s="62">
        <f t="shared" si="1483"/>
        <v>0</v>
      </c>
      <c r="DD101" s="102">
        <f t="shared" si="1484"/>
        <v>0</v>
      </c>
      <c r="DE101" s="31">
        <v>0</v>
      </c>
      <c r="DF101" s="31">
        <v>90</v>
      </c>
      <c r="DG101" s="31">
        <v>0</v>
      </c>
      <c r="DH101" s="48">
        <f t="shared" si="1485"/>
        <v>0</v>
      </c>
      <c r="DI101" s="62">
        <v>5000</v>
      </c>
      <c r="DJ101" s="62">
        <v>24375.65</v>
      </c>
      <c r="DK101" s="48">
        <f t="shared" si="1486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87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88"/>
        <v>0</v>
      </c>
      <c r="DV101" s="62">
        <v>0</v>
      </c>
      <c r="DW101" s="62">
        <v>0</v>
      </c>
      <c r="DX101" s="62">
        <f t="shared" si="1489"/>
        <v>0</v>
      </c>
      <c r="DY101" s="62">
        <f t="shared" si="1490"/>
        <v>0</v>
      </c>
      <c r="DZ101" s="48">
        <f t="shared" si="1491"/>
        <v>0</v>
      </c>
      <c r="EA101" s="62">
        <f t="shared" si="1492"/>
        <v>0</v>
      </c>
      <c r="EB101" s="62">
        <f t="shared" si="1493"/>
        <v>0</v>
      </c>
      <c r="EC101" s="48">
        <f t="shared" si="1494"/>
        <v>0</v>
      </c>
      <c r="ED101" s="62">
        <f t="shared" si="1495"/>
        <v>0</v>
      </c>
      <c r="EE101" s="62">
        <f t="shared" si="1496"/>
        <v>0</v>
      </c>
      <c r="EF101" s="48">
        <f t="shared" si="1497"/>
        <v>0</v>
      </c>
      <c r="EG101" s="62">
        <f t="shared" si="1498"/>
        <v>0</v>
      </c>
      <c r="EH101" s="62">
        <f t="shared" si="1499"/>
        <v>0</v>
      </c>
      <c r="EI101" s="48">
        <f t="shared" si="1500"/>
        <v>0</v>
      </c>
      <c r="EJ101" s="62">
        <f t="shared" si="1501"/>
        <v>0</v>
      </c>
      <c r="EK101" s="62">
        <f t="shared" si="1502"/>
        <v>0</v>
      </c>
      <c r="EL101" s="48">
        <f t="shared" si="1503"/>
        <v>0</v>
      </c>
      <c r="EM101" s="62">
        <f t="shared" si="1504"/>
        <v>0</v>
      </c>
      <c r="EN101" s="62">
        <f t="shared" si="1505"/>
        <v>0</v>
      </c>
      <c r="EO101" s="48">
        <f t="shared" si="1506"/>
        <v>0</v>
      </c>
      <c r="EP101" s="62">
        <f t="shared" si="1507"/>
        <v>0</v>
      </c>
      <c r="EQ101" s="62">
        <f t="shared" si="1507"/>
        <v>0</v>
      </c>
      <c r="ER101" s="62">
        <f t="shared" si="1507"/>
        <v>0</v>
      </c>
      <c r="ES101" s="62">
        <f t="shared" si="1508"/>
        <v>0</v>
      </c>
      <c r="ET101" s="62">
        <f t="shared" si="1508"/>
        <v>0</v>
      </c>
      <c r="EU101" s="62">
        <f t="shared" si="1508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509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 t="shared" si="1034"/>
        <v>1</v>
      </c>
      <c r="FS101" s="103" t="b">
        <f t="shared" si="1035"/>
        <v>1</v>
      </c>
      <c r="FT101" s="103" t="b">
        <f t="shared" si="1036"/>
        <v>1</v>
      </c>
      <c r="FU101" s="103" t="b">
        <f t="shared" si="1037"/>
        <v>0</v>
      </c>
      <c r="FV101" s="103" t="b">
        <f t="shared" si="1038"/>
        <v>1</v>
      </c>
      <c r="FW101" s="104" t="b">
        <f t="shared" si="1094"/>
        <v>0</v>
      </c>
      <c r="FX101" s="120" t="b">
        <f t="shared" si="1510"/>
        <v>1</v>
      </c>
      <c r="FY101" s="104" t="s">
        <v>230</v>
      </c>
      <c r="FZ101" s="104" t="b">
        <f t="shared" si="1511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12"/>
        <v>1</v>
      </c>
      <c r="GI101" s="8" t="b">
        <f t="shared" si="1513"/>
        <v>0</v>
      </c>
      <c r="GJ101" s="31" t="s">
        <v>203</v>
      </c>
      <c r="GK101" s="31">
        <v>1</v>
      </c>
    </row>
    <row r="102" spans="1:193" s="31" customFormat="1" ht="30" hidden="1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54"/>
        <v>в диапазоне</v>
      </c>
      <c r="Q102" s="95">
        <v>1000</v>
      </c>
      <c r="R102" s="95">
        <f t="shared" si="1455"/>
        <v>17900</v>
      </c>
      <c r="S102" s="112">
        <v>1000</v>
      </c>
      <c r="T102" s="112">
        <v>17900</v>
      </c>
      <c r="U102" s="112">
        <f t="shared" si="1456"/>
        <v>0</v>
      </c>
      <c r="V102" s="113">
        <f t="shared" si="1457"/>
        <v>1000</v>
      </c>
      <c r="W102" s="113">
        <f t="shared" si="1458"/>
        <v>17900</v>
      </c>
      <c r="X102" s="113">
        <f t="shared" si="1459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60"/>
        <v>0</v>
      </c>
      <c r="AF102" s="95">
        <f t="shared" si="1461"/>
        <v>17900</v>
      </c>
      <c r="AG102" s="114">
        <v>0</v>
      </c>
      <c r="AH102" s="95">
        <f t="shared" si="1462"/>
        <v>1000</v>
      </c>
      <c r="AI102" s="115">
        <f t="shared" si="1463"/>
        <v>17900</v>
      </c>
      <c r="AJ102" s="95">
        <f t="shared" si="1464"/>
        <v>0</v>
      </c>
      <c r="AK102" s="95">
        <f t="shared" si="1516"/>
        <v>0</v>
      </c>
      <c r="AL102" s="95">
        <f t="shared" si="1466"/>
        <v>0</v>
      </c>
      <c r="AM102" s="95">
        <f t="shared" si="1467"/>
        <v>0</v>
      </c>
      <c r="AN102" s="95" t="str">
        <f t="shared" si="1468"/>
        <v>нет оборота</v>
      </c>
      <c r="AO102" s="95" t="str">
        <f t="shared" si="1469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70"/>
        <v>Нет планов</v>
      </c>
      <c r="AW102" s="117">
        <f t="shared" si="1471"/>
        <v>17900</v>
      </c>
      <c r="AX102" s="14">
        <f t="shared" si="1515"/>
        <v>3</v>
      </c>
      <c r="AY102" s="25">
        <f t="shared" si="1473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74"/>
        <v>0</v>
      </c>
      <c r="BG102" s="29">
        <v>0</v>
      </c>
      <c r="BH102" s="29">
        <f t="shared" si="1475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76"/>
        <v>0</v>
      </c>
      <c r="BR102" s="95">
        <f t="shared" si="1477"/>
        <v>1000</v>
      </c>
      <c r="BS102" s="95">
        <f t="shared" si="1514"/>
        <v>1000</v>
      </c>
      <c r="BT102" s="95">
        <f t="shared" si="1514"/>
        <v>1000</v>
      </c>
      <c r="BU102" s="95">
        <f t="shared" si="1514"/>
        <v>1000</v>
      </c>
      <c r="BV102" s="95">
        <f t="shared" si="1514"/>
        <v>1000</v>
      </c>
      <c r="BW102" s="95">
        <f t="shared" si="1514"/>
        <v>1000</v>
      </c>
      <c r="BX102" s="95">
        <f t="shared" si="1479"/>
        <v>1000</v>
      </c>
      <c r="BY102" s="95">
        <f t="shared" si="1479"/>
        <v>1000</v>
      </c>
      <c r="BZ102" s="95">
        <f t="shared" si="1479"/>
        <v>1000</v>
      </c>
      <c r="CA102" s="95">
        <f t="shared" si="1479"/>
        <v>1000</v>
      </c>
      <c r="CB102" s="95">
        <f t="shared" si="1479"/>
        <v>1000</v>
      </c>
      <c r="CC102" s="95">
        <f t="shared" si="1479"/>
        <v>1000</v>
      </c>
      <c r="CD102" s="95">
        <f t="shared" si="1479"/>
        <v>1000</v>
      </c>
      <c r="CE102" s="95">
        <f t="shared" si="1479"/>
        <v>1000</v>
      </c>
      <c r="CF102" s="95">
        <f t="shared" si="1479"/>
        <v>1000</v>
      </c>
      <c r="CG102" s="95">
        <f t="shared" si="1479"/>
        <v>1000</v>
      </c>
      <c r="CH102" s="95">
        <f t="shared" si="1479"/>
        <v>1000</v>
      </c>
      <c r="CI102" s="95">
        <f t="shared" si="1479"/>
        <v>1000</v>
      </c>
      <c r="CJ102" s="95">
        <f t="shared" si="1479"/>
        <v>1000</v>
      </c>
      <c r="CK102" s="95">
        <f t="shared" si="1479"/>
        <v>1000</v>
      </c>
      <c r="CL102" s="95">
        <f t="shared" si="1479"/>
        <v>1000</v>
      </c>
      <c r="CM102" s="95">
        <f t="shared" si="1479"/>
        <v>1000</v>
      </c>
      <c r="CN102" s="95">
        <f t="shared" si="1479"/>
        <v>1000</v>
      </c>
      <c r="CO102" s="95">
        <f t="shared" si="1479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80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81"/>
        <v>0</v>
      </c>
      <c r="DB102" s="62">
        <f t="shared" si="1482"/>
        <v>0</v>
      </c>
      <c r="DC102" s="62">
        <f t="shared" si="1483"/>
        <v>0</v>
      </c>
      <c r="DD102" s="102">
        <f t="shared" si="1484"/>
        <v>0</v>
      </c>
      <c r="DE102" s="31">
        <v>0</v>
      </c>
      <c r="DF102" s="31">
        <v>90</v>
      </c>
      <c r="DG102" s="31">
        <v>0</v>
      </c>
      <c r="DH102" s="48">
        <f t="shared" si="1485"/>
        <v>0</v>
      </c>
      <c r="DI102" s="62">
        <v>1000</v>
      </c>
      <c r="DJ102" s="62">
        <v>17901.96</v>
      </c>
      <c r="DK102" s="48">
        <f t="shared" si="1486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87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88"/>
        <v>0</v>
      </c>
      <c r="DV102" s="62">
        <v>0</v>
      </c>
      <c r="DW102" s="62">
        <v>0</v>
      </c>
      <c r="DX102" s="62">
        <f t="shared" si="1489"/>
        <v>0</v>
      </c>
      <c r="DY102" s="62">
        <f t="shared" si="1490"/>
        <v>0</v>
      </c>
      <c r="DZ102" s="48">
        <f t="shared" si="1491"/>
        <v>0</v>
      </c>
      <c r="EA102" s="62">
        <f t="shared" si="1492"/>
        <v>0</v>
      </c>
      <c r="EB102" s="62">
        <f t="shared" si="1493"/>
        <v>0</v>
      </c>
      <c r="EC102" s="48">
        <f t="shared" si="1494"/>
        <v>0</v>
      </c>
      <c r="ED102" s="62">
        <f t="shared" si="1495"/>
        <v>0</v>
      </c>
      <c r="EE102" s="62">
        <f t="shared" si="1496"/>
        <v>0</v>
      </c>
      <c r="EF102" s="48">
        <f t="shared" si="1497"/>
        <v>0</v>
      </c>
      <c r="EG102" s="62">
        <f t="shared" si="1498"/>
        <v>0</v>
      </c>
      <c r="EH102" s="62">
        <f t="shared" si="1499"/>
        <v>0</v>
      </c>
      <c r="EI102" s="48">
        <f t="shared" si="1500"/>
        <v>0</v>
      </c>
      <c r="EJ102" s="62">
        <f t="shared" si="1501"/>
        <v>0</v>
      </c>
      <c r="EK102" s="62">
        <f t="shared" si="1502"/>
        <v>0</v>
      </c>
      <c r="EL102" s="48">
        <f t="shared" si="1503"/>
        <v>0</v>
      </c>
      <c r="EM102" s="62">
        <f t="shared" si="1504"/>
        <v>0</v>
      </c>
      <c r="EN102" s="62">
        <f t="shared" si="1505"/>
        <v>0</v>
      </c>
      <c r="EO102" s="48">
        <f t="shared" si="1506"/>
        <v>0</v>
      </c>
      <c r="EP102" s="62">
        <f t="shared" si="1507"/>
        <v>0</v>
      </c>
      <c r="EQ102" s="62">
        <f t="shared" si="1507"/>
        <v>0</v>
      </c>
      <c r="ER102" s="62">
        <f t="shared" si="1507"/>
        <v>0</v>
      </c>
      <c r="ES102" s="62">
        <f t="shared" si="1508"/>
        <v>0</v>
      </c>
      <c r="ET102" s="62">
        <f t="shared" si="1508"/>
        <v>0</v>
      </c>
      <c r="EU102" s="62">
        <f t="shared" si="1508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509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 t="shared" si="1034"/>
        <v>1</v>
      </c>
      <c r="FS102" s="103" t="b">
        <f t="shared" si="1035"/>
        <v>1</v>
      </c>
      <c r="FT102" s="103" t="b">
        <f t="shared" si="1036"/>
        <v>1</v>
      </c>
      <c r="FU102" s="103" t="b">
        <f t="shared" si="1037"/>
        <v>0</v>
      </c>
      <c r="FV102" s="103" t="b">
        <f t="shared" si="1038"/>
        <v>1</v>
      </c>
      <c r="FW102" s="104" t="b">
        <f t="shared" si="1094"/>
        <v>0</v>
      </c>
      <c r="FX102" s="120" t="b">
        <f t="shared" si="1510"/>
        <v>1</v>
      </c>
      <c r="FY102" s="104" t="s">
        <v>230</v>
      </c>
      <c r="FZ102" s="104" t="b">
        <f t="shared" si="1511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12"/>
        <v>1</v>
      </c>
      <c r="GI102" s="8" t="b">
        <f t="shared" si="1513"/>
        <v>0</v>
      </c>
      <c r="GJ102" s="31" t="s">
        <v>203</v>
      </c>
      <c r="GK102" s="31">
        <v>1</v>
      </c>
    </row>
    <row r="103" spans="1:193" s="31" customFormat="1" hidden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54"/>
        <v>нет минмакс</v>
      </c>
      <c r="Q103" s="95">
        <v>0</v>
      </c>
      <c r="R103" s="95">
        <f t="shared" si="1455"/>
        <v>0</v>
      </c>
      <c r="S103" s="94">
        <v>0</v>
      </c>
      <c r="T103" s="94">
        <v>0</v>
      </c>
      <c r="U103" s="94">
        <f t="shared" si="1456"/>
        <v>0</v>
      </c>
      <c r="V103" s="94">
        <f t="shared" si="1457"/>
        <v>0</v>
      </c>
      <c r="W103" s="94">
        <f t="shared" si="1458"/>
        <v>0</v>
      </c>
      <c r="X103" s="94">
        <f t="shared" si="1459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60"/>
        <v>0</v>
      </c>
      <c r="AF103" s="95">
        <f t="shared" si="1461"/>
        <v>0</v>
      </c>
      <c r="AG103" s="96">
        <v>0</v>
      </c>
      <c r="AH103" s="95">
        <f t="shared" si="1462"/>
        <v>0</v>
      </c>
      <c r="AI103" s="94">
        <f t="shared" si="1463"/>
        <v>0</v>
      </c>
      <c r="AJ103" s="94">
        <f t="shared" si="1464"/>
        <v>0</v>
      </c>
      <c r="AK103" s="94">
        <f t="shared" si="1516"/>
        <v>0</v>
      </c>
      <c r="AL103" s="94">
        <f t="shared" si="1466"/>
        <v>0</v>
      </c>
      <c r="AM103" s="94">
        <f t="shared" si="1467"/>
        <v>0</v>
      </c>
      <c r="AN103" s="94" t="str">
        <f t="shared" si="1468"/>
        <v>нет оборота</v>
      </c>
      <c r="AO103" s="94" t="str">
        <f t="shared" si="1469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70"/>
        <v>нет остатка</v>
      </c>
      <c r="AW103" s="98">
        <f t="shared" si="1471"/>
        <v>0</v>
      </c>
      <c r="AX103" s="93"/>
      <c r="AY103" s="94">
        <f t="shared" si="1473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74"/>
        <v>0</v>
      </c>
      <c r="BG103" s="29">
        <v>0</v>
      </c>
      <c r="BH103" s="29">
        <f t="shared" si="1475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76"/>
        <v>0</v>
      </c>
      <c r="BR103" s="95">
        <f t="shared" si="1477"/>
        <v>0</v>
      </c>
      <c r="BS103" s="95">
        <f t="shared" si="1514"/>
        <v>0</v>
      </c>
      <c r="BT103" s="95">
        <f t="shared" si="1514"/>
        <v>0</v>
      </c>
      <c r="BU103" s="95">
        <f t="shared" si="1514"/>
        <v>0</v>
      </c>
      <c r="BV103" s="95">
        <f t="shared" si="1514"/>
        <v>0</v>
      </c>
      <c r="BW103" s="95">
        <f t="shared" si="1514"/>
        <v>0</v>
      </c>
      <c r="BX103" s="95">
        <f t="shared" si="1479"/>
        <v>0</v>
      </c>
      <c r="BY103" s="95">
        <f t="shared" si="1479"/>
        <v>0</v>
      </c>
      <c r="BZ103" s="95">
        <f t="shared" si="1479"/>
        <v>0</v>
      </c>
      <c r="CA103" s="95">
        <f t="shared" ref="CA103:CO103" si="1517">BZ103-$BQ103</f>
        <v>0</v>
      </c>
      <c r="CB103" s="95">
        <f t="shared" si="1517"/>
        <v>0</v>
      </c>
      <c r="CC103" s="95">
        <f t="shared" si="1517"/>
        <v>0</v>
      </c>
      <c r="CD103" s="95">
        <f t="shared" si="1517"/>
        <v>0</v>
      </c>
      <c r="CE103" s="95">
        <f t="shared" si="1517"/>
        <v>0</v>
      </c>
      <c r="CF103" s="95">
        <f t="shared" si="1517"/>
        <v>0</v>
      </c>
      <c r="CG103" s="95">
        <f t="shared" si="1517"/>
        <v>0</v>
      </c>
      <c r="CH103" s="95">
        <f t="shared" si="1517"/>
        <v>0</v>
      </c>
      <c r="CI103" s="95">
        <f t="shared" si="1517"/>
        <v>0</v>
      </c>
      <c r="CJ103" s="95">
        <f t="shared" si="1517"/>
        <v>0</v>
      </c>
      <c r="CK103" s="95">
        <f t="shared" si="1517"/>
        <v>0</v>
      </c>
      <c r="CL103" s="95">
        <f t="shared" si="1517"/>
        <v>0</v>
      </c>
      <c r="CM103" s="95">
        <f t="shared" si="1517"/>
        <v>0</v>
      </c>
      <c r="CN103" s="95">
        <f t="shared" si="1517"/>
        <v>0</v>
      </c>
      <c r="CO103" s="95">
        <f t="shared" si="1517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80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81"/>
        <v>0</v>
      </c>
      <c r="DB103" s="62">
        <f t="shared" si="1482"/>
        <v>195702.75</v>
      </c>
      <c r="DC103" s="62">
        <f t="shared" si="1483"/>
        <v>0</v>
      </c>
      <c r="DD103" s="102">
        <f t="shared" si="1484"/>
        <v>0</v>
      </c>
      <c r="DE103" s="31">
        <v>0</v>
      </c>
      <c r="DG103" s="31">
        <v>0</v>
      </c>
      <c r="DH103" s="48">
        <f t="shared" si="1485"/>
        <v>0</v>
      </c>
      <c r="DI103" s="62">
        <v>0</v>
      </c>
      <c r="DJ103" s="62">
        <v>0</v>
      </c>
      <c r="DK103" s="48">
        <f t="shared" si="1486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87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88"/>
        <v>0</v>
      </c>
      <c r="DV103" s="62">
        <v>0</v>
      </c>
      <c r="DW103" s="62">
        <v>0</v>
      </c>
      <c r="DX103" s="62">
        <f t="shared" si="1489"/>
        <v>0</v>
      </c>
      <c r="DY103" s="62">
        <f t="shared" si="1490"/>
        <v>0</v>
      </c>
      <c r="DZ103" s="48">
        <f t="shared" si="1491"/>
        <v>0</v>
      </c>
      <c r="EA103" s="62">
        <f t="shared" si="1492"/>
        <v>0</v>
      </c>
      <c r="EB103" s="62">
        <f t="shared" si="1493"/>
        <v>0</v>
      </c>
      <c r="EC103" s="48">
        <f t="shared" si="1494"/>
        <v>0</v>
      </c>
      <c r="ED103" s="62">
        <f t="shared" si="1495"/>
        <v>0</v>
      </c>
      <c r="EE103" s="62">
        <f t="shared" si="1496"/>
        <v>0</v>
      </c>
      <c r="EF103" s="48">
        <f t="shared" si="1497"/>
        <v>0</v>
      </c>
      <c r="EG103" s="62">
        <f t="shared" si="1498"/>
        <v>0</v>
      </c>
      <c r="EH103" s="62">
        <f t="shared" si="1499"/>
        <v>0</v>
      </c>
      <c r="EI103" s="48">
        <f t="shared" si="1500"/>
        <v>0</v>
      </c>
      <c r="EJ103" s="62">
        <f t="shared" si="1501"/>
        <v>0</v>
      </c>
      <c r="EK103" s="62">
        <f t="shared" si="1502"/>
        <v>0</v>
      </c>
      <c r="EL103" s="48">
        <f t="shared" si="1503"/>
        <v>0</v>
      </c>
      <c r="EM103" s="62">
        <f t="shared" si="1504"/>
        <v>0</v>
      </c>
      <c r="EN103" s="62">
        <f t="shared" si="1505"/>
        <v>0</v>
      </c>
      <c r="EO103" s="48">
        <f t="shared" si="1506"/>
        <v>0</v>
      </c>
      <c r="EP103" s="62">
        <f t="shared" si="1507"/>
        <v>0</v>
      </c>
      <c r="EQ103" s="62">
        <f t="shared" si="1507"/>
        <v>0</v>
      </c>
      <c r="ER103" s="62">
        <f t="shared" si="1507"/>
        <v>0</v>
      </c>
      <c r="ES103" s="62">
        <f t="shared" si="1508"/>
        <v>0</v>
      </c>
      <c r="ET103" s="62">
        <f t="shared" si="1508"/>
        <v>0</v>
      </c>
      <c r="EU103" s="62">
        <f t="shared" si="1508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509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 t="shared" si="1034"/>
        <v>1</v>
      </c>
      <c r="FS103" s="104" t="b">
        <f t="shared" si="1035"/>
        <v>0</v>
      </c>
      <c r="FT103" s="104" t="b">
        <f t="shared" si="1036"/>
        <v>1</v>
      </c>
      <c r="FU103" s="104" t="b">
        <f t="shared" si="1037"/>
        <v>0</v>
      </c>
      <c r="FV103" s="104" t="b">
        <f t="shared" si="1038"/>
        <v>1</v>
      </c>
      <c r="FW103" s="104" t="b">
        <f t="shared" si="1094"/>
        <v>0</v>
      </c>
      <c r="FX103" s="104" t="b">
        <f t="shared" si="1510"/>
        <v>1</v>
      </c>
      <c r="FY103" s="104" t="s">
        <v>214</v>
      </c>
      <c r="FZ103" s="104" t="b">
        <f t="shared" si="1511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12"/>
        <v>1</v>
      </c>
      <c r="GI103" s="108" t="b">
        <f t="shared" si="1513"/>
        <v>0</v>
      </c>
    </row>
    <row r="104" spans="1:193" s="31" customFormat="1" ht="30" hidden="1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54"/>
        <v>нет минмакс</v>
      </c>
      <c r="Q104" s="95">
        <v>1636</v>
      </c>
      <c r="R104" s="95">
        <f t="shared" si="1455"/>
        <v>29448</v>
      </c>
      <c r="S104" s="112">
        <v>1636</v>
      </c>
      <c r="T104" s="112">
        <v>29448</v>
      </c>
      <c r="U104" s="112">
        <f t="shared" si="1456"/>
        <v>0</v>
      </c>
      <c r="V104" s="113">
        <f t="shared" si="1457"/>
        <v>1636</v>
      </c>
      <c r="W104" s="113">
        <f t="shared" si="1458"/>
        <v>29448</v>
      </c>
      <c r="X104" s="113">
        <f t="shared" si="1459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60"/>
        <v>0</v>
      </c>
      <c r="AF104" s="95">
        <f t="shared" si="1461"/>
        <v>29448</v>
      </c>
      <c r="AG104" s="114">
        <v>0</v>
      </c>
      <c r="AH104" s="95">
        <f t="shared" si="1462"/>
        <v>1636</v>
      </c>
      <c r="AI104" s="115">
        <f t="shared" si="1463"/>
        <v>29448</v>
      </c>
      <c r="AJ104" s="95">
        <f t="shared" si="1464"/>
        <v>0</v>
      </c>
      <c r="AK104" s="95">
        <f t="shared" si="1516"/>
        <v>0</v>
      </c>
      <c r="AL104" s="95">
        <f t="shared" si="1466"/>
        <v>0</v>
      </c>
      <c r="AM104" s="95">
        <f t="shared" si="1467"/>
        <v>0</v>
      </c>
      <c r="AN104" s="95" t="str">
        <f t="shared" si="1468"/>
        <v>нет оборота</v>
      </c>
      <c r="AO104" s="95" t="str">
        <f t="shared" si="1469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70"/>
        <v>Нет планов</v>
      </c>
      <c r="AW104" s="117">
        <f t="shared" si="1471"/>
        <v>29448</v>
      </c>
      <c r="AX104" s="14">
        <f t="shared" ref="AX104:AX105" si="1518">MONTH(BC104)-6</f>
        <v>6</v>
      </c>
      <c r="AY104" s="25">
        <f t="shared" si="1473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74"/>
        <v>0</v>
      </c>
      <c r="BG104" s="29">
        <v>0</v>
      </c>
      <c r="BH104" s="29">
        <f t="shared" si="1475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76"/>
        <v>0</v>
      </c>
      <c r="BR104" s="95">
        <f t="shared" si="1477"/>
        <v>1636</v>
      </c>
      <c r="BS104" s="95">
        <f t="shared" si="1514"/>
        <v>1636</v>
      </c>
      <c r="BT104" s="95">
        <f t="shared" si="1514"/>
        <v>1636</v>
      </c>
      <c r="BU104" s="95">
        <f t="shared" si="1514"/>
        <v>1636</v>
      </c>
      <c r="BV104" s="95">
        <f t="shared" si="1514"/>
        <v>1636</v>
      </c>
      <c r="BW104" s="95">
        <f t="shared" si="1514"/>
        <v>1636</v>
      </c>
      <c r="BX104" s="95">
        <f t="shared" ref="BX104:CO108" si="1519">BW104-$BQ104</f>
        <v>1636</v>
      </c>
      <c r="BY104" s="95">
        <f t="shared" si="1519"/>
        <v>1636</v>
      </c>
      <c r="BZ104" s="95">
        <f t="shared" si="1519"/>
        <v>1636</v>
      </c>
      <c r="CA104" s="95">
        <f t="shared" si="1519"/>
        <v>1636</v>
      </c>
      <c r="CB104" s="95">
        <f t="shared" si="1519"/>
        <v>1636</v>
      </c>
      <c r="CC104" s="95">
        <f t="shared" si="1519"/>
        <v>1636</v>
      </c>
      <c r="CD104" s="95">
        <f t="shared" si="1519"/>
        <v>1636</v>
      </c>
      <c r="CE104" s="95">
        <f t="shared" si="1519"/>
        <v>1636</v>
      </c>
      <c r="CF104" s="95">
        <f t="shared" si="1519"/>
        <v>1636</v>
      </c>
      <c r="CG104" s="95">
        <f t="shared" si="1519"/>
        <v>1636</v>
      </c>
      <c r="CH104" s="95">
        <f t="shared" si="1519"/>
        <v>1636</v>
      </c>
      <c r="CI104" s="95">
        <f t="shared" si="1519"/>
        <v>1636</v>
      </c>
      <c r="CJ104" s="95">
        <f t="shared" si="1519"/>
        <v>1636</v>
      </c>
      <c r="CK104" s="95">
        <f t="shared" si="1519"/>
        <v>1636</v>
      </c>
      <c r="CL104" s="95">
        <f t="shared" si="1519"/>
        <v>1636</v>
      </c>
      <c r="CM104" s="95">
        <f t="shared" si="1519"/>
        <v>1636</v>
      </c>
      <c r="CN104" s="95">
        <f t="shared" si="1519"/>
        <v>1636</v>
      </c>
      <c r="CO104" s="95">
        <f t="shared" si="1519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80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81"/>
        <v>0</v>
      </c>
      <c r="DB104" s="62">
        <f t="shared" si="1482"/>
        <v>0</v>
      </c>
      <c r="DC104" s="62">
        <f t="shared" si="1483"/>
        <v>0</v>
      </c>
      <c r="DD104" s="102">
        <f t="shared" si="1484"/>
        <v>0</v>
      </c>
      <c r="DE104" s="31">
        <v>0</v>
      </c>
      <c r="DF104" s="31">
        <v>90</v>
      </c>
      <c r="DG104" s="31">
        <v>0</v>
      </c>
      <c r="DH104" s="48">
        <f t="shared" si="1485"/>
        <v>0</v>
      </c>
      <c r="DI104" s="62">
        <v>1636</v>
      </c>
      <c r="DJ104" s="62">
        <v>29443.88</v>
      </c>
      <c r="DK104" s="48">
        <f t="shared" si="1486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87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88"/>
        <v>0</v>
      </c>
      <c r="DV104" s="62">
        <v>0</v>
      </c>
      <c r="DW104" s="62">
        <v>0</v>
      </c>
      <c r="DX104" s="62">
        <f t="shared" si="1489"/>
        <v>0</v>
      </c>
      <c r="DY104" s="62">
        <f t="shared" si="1490"/>
        <v>0</v>
      </c>
      <c r="DZ104" s="48">
        <f t="shared" si="1491"/>
        <v>0</v>
      </c>
      <c r="EA104" s="62">
        <f t="shared" si="1492"/>
        <v>0</v>
      </c>
      <c r="EB104" s="62">
        <f t="shared" si="1493"/>
        <v>0</v>
      </c>
      <c r="EC104" s="48">
        <f t="shared" si="1494"/>
        <v>0</v>
      </c>
      <c r="ED104" s="62">
        <f t="shared" si="1495"/>
        <v>0</v>
      </c>
      <c r="EE104" s="62">
        <f t="shared" si="1496"/>
        <v>0</v>
      </c>
      <c r="EF104" s="48">
        <f t="shared" si="1497"/>
        <v>0</v>
      </c>
      <c r="EG104" s="62">
        <f t="shared" si="1498"/>
        <v>0</v>
      </c>
      <c r="EH104" s="62">
        <f t="shared" si="1499"/>
        <v>0</v>
      </c>
      <c r="EI104" s="48">
        <f t="shared" si="1500"/>
        <v>0</v>
      </c>
      <c r="EJ104" s="62">
        <f t="shared" si="1501"/>
        <v>0</v>
      </c>
      <c r="EK104" s="62">
        <f t="shared" si="1502"/>
        <v>0</v>
      </c>
      <c r="EL104" s="48">
        <f t="shared" si="1503"/>
        <v>0</v>
      </c>
      <c r="EM104" s="62">
        <f t="shared" si="1504"/>
        <v>0</v>
      </c>
      <c r="EN104" s="62">
        <f t="shared" si="1505"/>
        <v>0</v>
      </c>
      <c r="EO104" s="48">
        <f t="shared" si="1506"/>
        <v>0</v>
      </c>
      <c r="EP104" s="62">
        <f t="shared" si="1507"/>
        <v>0</v>
      </c>
      <c r="EQ104" s="62">
        <f t="shared" si="1507"/>
        <v>0</v>
      </c>
      <c r="ER104" s="62">
        <f t="shared" si="1507"/>
        <v>0</v>
      </c>
      <c r="ES104" s="62">
        <f t="shared" si="1508"/>
        <v>0</v>
      </c>
      <c r="ET104" s="62">
        <f t="shared" si="1508"/>
        <v>0</v>
      </c>
      <c r="EU104" s="62">
        <f t="shared" si="1508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509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 t="shared" si="1034"/>
        <v>1</v>
      </c>
      <c r="FS104" s="103" t="b">
        <f t="shared" si="1035"/>
        <v>1</v>
      </c>
      <c r="FT104" s="103" t="b">
        <f t="shared" si="1036"/>
        <v>1</v>
      </c>
      <c r="FU104" s="103" t="b">
        <f t="shared" si="1037"/>
        <v>0</v>
      </c>
      <c r="FV104" s="103" t="b">
        <f t="shared" si="1038"/>
        <v>1</v>
      </c>
      <c r="FW104" s="104" t="b">
        <f t="shared" si="1094"/>
        <v>0</v>
      </c>
      <c r="FX104" s="120" t="b">
        <f t="shared" si="1510"/>
        <v>1</v>
      </c>
      <c r="FY104" s="104" t="s">
        <v>214</v>
      </c>
      <c r="FZ104" s="104" t="b">
        <f t="shared" si="1511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12"/>
        <v>1</v>
      </c>
      <c r="GI104" s="8" t="b">
        <f t="shared" si="1513"/>
        <v>0</v>
      </c>
    </row>
    <row r="105" spans="1:193" s="31" customFormat="1" ht="30" hidden="1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54"/>
        <v>нет минмакс</v>
      </c>
      <c r="Q105" s="95">
        <v>20602</v>
      </c>
      <c r="R105" s="95">
        <f t="shared" si="1455"/>
        <v>18747.82</v>
      </c>
      <c r="S105" s="112">
        <v>20602</v>
      </c>
      <c r="T105" s="112">
        <v>19777.919999999998</v>
      </c>
      <c r="U105" s="112">
        <f t="shared" si="1456"/>
        <v>0</v>
      </c>
      <c r="V105" s="113">
        <f t="shared" si="1457"/>
        <v>20602</v>
      </c>
      <c r="W105" s="113">
        <f t="shared" si="1458"/>
        <v>18747.82</v>
      </c>
      <c r="X105" s="113">
        <f t="shared" si="1459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60"/>
        <v>0</v>
      </c>
      <c r="AF105" s="95">
        <f t="shared" si="1461"/>
        <v>0</v>
      </c>
      <c r="AG105" s="114">
        <v>0</v>
      </c>
      <c r="AH105" s="95">
        <f t="shared" si="1462"/>
        <v>20602</v>
      </c>
      <c r="AI105" s="115">
        <f t="shared" si="1463"/>
        <v>18747.82</v>
      </c>
      <c r="AJ105" s="95">
        <f t="shared" si="1464"/>
        <v>0</v>
      </c>
      <c r="AK105" s="95">
        <f t="shared" si="1516"/>
        <v>0</v>
      </c>
      <c r="AL105" s="95">
        <f t="shared" si="1466"/>
        <v>0</v>
      </c>
      <c r="AM105" s="95">
        <f t="shared" si="1467"/>
        <v>0</v>
      </c>
      <c r="AN105" s="95" t="str">
        <f t="shared" si="1468"/>
        <v>нет оборота</v>
      </c>
      <c r="AO105" s="95" t="str">
        <f t="shared" si="1469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70"/>
        <v>Нет планов</v>
      </c>
      <c r="AW105" s="117">
        <f t="shared" si="1471"/>
        <v>18747.82</v>
      </c>
      <c r="AX105" s="14">
        <f t="shared" si="1518"/>
        <v>6</v>
      </c>
      <c r="AY105" s="25">
        <f t="shared" si="1473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74"/>
        <v>0</v>
      </c>
      <c r="BG105" s="29">
        <v>0</v>
      </c>
      <c r="BH105" s="29">
        <f t="shared" si="1475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76"/>
        <v>0</v>
      </c>
      <c r="BR105" s="95">
        <f t="shared" si="1477"/>
        <v>20602</v>
      </c>
      <c r="BS105" s="95">
        <f t="shared" si="1514"/>
        <v>20602</v>
      </c>
      <c r="BT105" s="95">
        <f t="shared" si="1514"/>
        <v>20602</v>
      </c>
      <c r="BU105" s="95">
        <f t="shared" si="1514"/>
        <v>20602</v>
      </c>
      <c r="BV105" s="95">
        <f t="shared" si="1514"/>
        <v>20602</v>
      </c>
      <c r="BW105" s="95">
        <f t="shared" si="1514"/>
        <v>20602</v>
      </c>
      <c r="BX105" s="95">
        <f t="shared" si="1519"/>
        <v>20602</v>
      </c>
      <c r="BY105" s="95">
        <f t="shared" si="1519"/>
        <v>20602</v>
      </c>
      <c r="BZ105" s="95">
        <f t="shared" si="1519"/>
        <v>20602</v>
      </c>
      <c r="CA105" s="95">
        <f t="shared" si="1519"/>
        <v>20602</v>
      </c>
      <c r="CB105" s="95">
        <f t="shared" si="1519"/>
        <v>20602</v>
      </c>
      <c r="CC105" s="95">
        <f t="shared" si="1519"/>
        <v>20602</v>
      </c>
      <c r="CD105" s="95">
        <f t="shared" si="1519"/>
        <v>20602</v>
      </c>
      <c r="CE105" s="95">
        <f t="shared" si="1519"/>
        <v>20602</v>
      </c>
      <c r="CF105" s="95">
        <f t="shared" si="1519"/>
        <v>20602</v>
      </c>
      <c r="CG105" s="95">
        <f t="shared" si="1519"/>
        <v>20602</v>
      </c>
      <c r="CH105" s="95">
        <f t="shared" si="1519"/>
        <v>20602</v>
      </c>
      <c r="CI105" s="95">
        <f t="shared" si="1519"/>
        <v>20602</v>
      </c>
      <c r="CJ105" s="95">
        <f t="shared" si="1519"/>
        <v>20602</v>
      </c>
      <c r="CK105" s="95">
        <f t="shared" si="1519"/>
        <v>20602</v>
      </c>
      <c r="CL105" s="95">
        <f t="shared" si="1519"/>
        <v>20602</v>
      </c>
      <c r="CM105" s="95">
        <f t="shared" si="1519"/>
        <v>20602</v>
      </c>
      <c r="CN105" s="95">
        <f t="shared" si="1519"/>
        <v>20602</v>
      </c>
      <c r="CO105" s="95">
        <f t="shared" si="1519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80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81"/>
        <v>0</v>
      </c>
      <c r="DB105" s="62">
        <f t="shared" si="1482"/>
        <v>0</v>
      </c>
      <c r="DC105" s="62">
        <f t="shared" si="1483"/>
        <v>0</v>
      </c>
      <c r="DD105" s="102">
        <f t="shared" si="1484"/>
        <v>0</v>
      </c>
      <c r="DE105" s="31">
        <v>0</v>
      </c>
      <c r="DF105" s="31">
        <v>90</v>
      </c>
      <c r="DG105" s="31">
        <v>0</v>
      </c>
      <c r="DH105" s="48">
        <f t="shared" si="1485"/>
        <v>0</v>
      </c>
      <c r="DI105" s="62">
        <v>20602</v>
      </c>
      <c r="DJ105" s="62">
        <v>18677.990000000002</v>
      </c>
      <c r="DK105" s="48">
        <f t="shared" si="1486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87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88"/>
        <v>0</v>
      </c>
      <c r="DV105" s="62">
        <v>0</v>
      </c>
      <c r="DW105" s="62">
        <v>0</v>
      </c>
      <c r="DX105" s="62">
        <f t="shared" si="1489"/>
        <v>0</v>
      </c>
      <c r="DY105" s="62">
        <f t="shared" si="1490"/>
        <v>0</v>
      </c>
      <c r="DZ105" s="48">
        <f t="shared" si="1491"/>
        <v>0</v>
      </c>
      <c r="EA105" s="62">
        <f t="shared" si="1492"/>
        <v>0</v>
      </c>
      <c r="EB105" s="62">
        <f t="shared" si="1493"/>
        <v>0</v>
      </c>
      <c r="EC105" s="48">
        <f t="shared" si="1494"/>
        <v>0</v>
      </c>
      <c r="ED105" s="62">
        <f t="shared" si="1495"/>
        <v>0</v>
      </c>
      <c r="EE105" s="62">
        <f t="shared" si="1496"/>
        <v>0</v>
      </c>
      <c r="EF105" s="48">
        <f t="shared" si="1497"/>
        <v>0</v>
      </c>
      <c r="EG105" s="62">
        <f t="shared" si="1498"/>
        <v>0</v>
      </c>
      <c r="EH105" s="62">
        <f t="shared" si="1499"/>
        <v>0</v>
      </c>
      <c r="EI105" s="48">
        <f t="shared" si="1500"/>
        <v>0</v>
      </c>
      <c r="EJ105" s="62">
        <f t="shared" si="1501"/>
        <v>0</v>
      </c>
      <c r="EK105" s="62">
        <f t="shared" si="1502"/>
        <v>0</v>
      </c>
      <c r="EL105" s="48">
        <f t="shared" si="1503"/>
        <v>0</v>
      </c>
      <c r="EM105" s="62">
        <f t="shared" si="1504"/>
        <v>0</v>
      </c>
      <c r="EN105" s="62">
        <f t="shared" si="1505"/>
        <v>0</v>
      </c>
      <c r="EO105" s="48">
        <f t="shared" si="1506"/>
        <v>0</v>
      </c>
      <c r="EP105" s="62">
        <f t="shared" si="1507"/>
        <v>0</v>
      </c>
      <c r="EQ105" s="62">
        <f t="shared" si="1507"/>
        <v>0</v>
      </c>
      <c r="ER105" s="62">
        <f t="shared" si="1507"/>
        <v>0</v>
      </c>
      <c r="ES105" s="62">
        <f t="shared" si="1508"/>
        <v>0</v>
      </c>
      <c r="ET105" s="62">
        <f t="shared" si="1508"/>
        <v>0</v>
      </c>
      <c r="EU105" s="62">
        <f t="shared" si="1508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509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 t="shared" si="1034"/>
        <v>1</v>
      </c>
      <c r="FS105" s="103" t="b">
        <f t="shared" si="1035"/>
        <v>1</v>
      </c>
      <c r="FT105" s="103" t="b">
        <f t="shared" si="1036"/>
        <v>1</v>
      </c>
      <c r="FU105" s="103" t="b">
        <f t="shared" si="1037"/>
        <v>0</v>
      </c>
      <c r="FV105" s="103" t="b">
        <f t="shared" si="1038"/>
        <v>1</v>
      </c>
      <c r="FW105" s="104" t="b">
        <f t="shared" si="1094"/>
        <v>0</v>
      </c>
      <c r="FX105" s="120" t="b">
        <f t="shared" si="1510"/>
        <v>1</v>
      </c>
      <c r="FY105" s="104" t="s">
        <v>214</v>
      </c>
      <c r="FZ105" s="104" t="b">
        <f t="shared" si="1511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12"/>
        <v>1</v>
      </c>
      <c r="GI105" s="8" t="b">
        <f t="shared" si="1513"/>
        <v>0</v>
      </c>
    </row>
    <row r="106" spans="1:193" s="31" customFormat="1" hidden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54"/>
        <v>нет минмакс</v>
      </c>
      <c r="Q106" s="95">
        <v>0</v>
      </c>
      <c r="R106" s="95">
        <f t="shared" si="1455"/>
        <v>0</v>
      </c>
      <c r="S106" s="94">
        <v>0</v>
      </c>
      <c r="T106" s="94">
        <v>0</v>
      </c>
      <c r="U106" s="94">
        <f t="shared" si="1456"/>
        <v>0</v>
      </c>
      <c r="V106" s="94">
        <f t="shared" si="1457"/>
        <v>0</v>
      </c>
      <c r="W106" s="94">
        <f t="shared" si="1458"/>
        <v>0</v>
      </c>
      <c r="X106" s="94">
        <f t="shared" si="1459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60"/>
        <v>0</v>
      </c>
      <c r="AF106" s="95">
        <f t="shared" si="1461"/>
        <v>0</v>
      </c>
      <c r="AG106" s="96">
        <v>2744</v>
      </c>
      <c r="AH106" s="95">
        <f t="shared" si="1462"/>
        <v>-2744</v>
      </c>
      <c r="AI106" s="94">
        <f t="shared" si="1463"/>
        <v>0</v>
      </c>
      <c r="AJ106" s="94">
        <f t="shared" si="1464"/>
        <v>0</v>
      </c>
      <c r="AK106" s="94">
        <f t="shared" si="1516"/>
        <v>0</v>
      </c>
      <c r="AL106" s="94">
        <f t="shared" si="1466"/>
        <v>1044</v>
      </c>
      <c r="AM106" s="94">
        <f t="shared" si="1467"/>
        <v>558</v>
      </c>
      <c r="AN106" s="94">
        <f t="shared" si="1468"/>
        <v>0</v>
      </c>
      <c r="AO106" s="94" t="str">
        <f t="shared" si="1469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70"/>
        <v>нет остатка</v>
      </c>
      <c r="AW106" s="98">
        <f t="shared" si="1471"/>
        <v>0</v>
      </c>
      <c r="AX106" s="93"/>
      <c r="AY106" s="94">
        <f t="shared" si="1473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74"/>
        <v>0</v>
      </c>
      <c r="BG106" s="29">
        <v>0</v>
      </c>
      <c r="BH106" s="29">
        <f t="shared" si="1475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76"/>
        <v>93</v>
      </c>
      <c r="BR106" s="95">
        <f t="shared" si="1477"/>
        <v>-93</v>
      </c>
      <c r="BS106" s="95">
        <f t="shared" si="1514"/>
        <v>-186</v>
      </c>
      <c r="BT106" s="95">
        <f t="shared" si="1514"/>
        <v>-279</v>
      </c>
      <c r="BU106" s="95">
        <f t="shared" si="1514"/>
        <v>-372</v>
      </c>
      <c r="BV106" s="95">
        <f t="shared" si="1514"/>
        <v>-465</v>
      </c>
      <c r="BW106" s="95">
        <f t="shared" si="1514"/>
        <v>-558</v>
      </c>
      <c r="BX106" s="95">
        <f t="shared" si="1519"/>
        <v>-651</v>
      </c>
      <c r="BY106" s="95">
        <f t="shared" si="1519"/>
        <v>-744</v>
      </c>
      <c r="BZ106" s="95">
        <f t="shared" si="1519"/>
        <v>-837</v>
      </c>
      <c r="CA106" s="95">
        <f t="shared" si="1519"/>
        <v>-930</v>
      </c>
      <c r="CB106" s="95">
        <f t="shared" si="1519"/>
        <v>-1023</v>
      </c>
      <c r="CC106" s="95">
        <f t="shared" si="1519"/>
        <v>-1116</v>
      </c>
      <c r="CD106" s="95">
        <f t="shared" si="1519"/>
        <v>-1209</v>
      </c>
      <c r="CE106" s="95">
        <f t="shared" si="1519"/>
        <v>-1302</v>
      </c>
      <c r="CF106" s="95">
        <f t="shared" si="1519"/>
        <v>-1395</v>
      </c>
      <c r="CG106" s="95">
        <f t="shared" si="1519"/>
        <v>-1488</v>
      </c>
      <c r="CH106" s="95">
        <f t="shared" si="1519"/>
        <v>-1581</v>
      </c>
      <c r="CI106" s="95">
        <f t="shared" si="1519"/>
        <v>-1674</v>
      </c>
      <c r="CJ106" s="95">
        <f t="shared" si="1519"/>
        <v>-1767</v>
      </c>
      <c r="CK106" s="95">
        <f t="shared" si="1519"/>
        <v>-1860</v>
      </c>
      <c r="CL106" s="95">
        <f t="shared" si="1519"/>
        <v>-1953</v>
      </c>
      <c r="CM106" s="95">
        <f t="shared" si="1519"/>
        <v>-2046</v>
      </c>
      <c r="CN106" s="95">
        <f t="shared" si="1519"/>
        <v>-2139</v>
      </c>
      <c r="CO106" s="95">
        <f t="shared" si="1519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80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81"/>
        <v>0</v>
      </c>
      <c r="DB106" s="62">
        <f t="shared" si="1482"/>
        <v>165159.94</v>
      </c>
      <c r="DC106" s="62">
        <f t="shared" si="1483"/>
        <v>0</v>
      </c>
      <c r="DD106" s="102">
        <f t="shared" si="1484"/>
        <v>0</v>
      </c>
      <c r="DE106" s="31">
        <v>0</v>
      </c>
      <c r="DG106" s="31">
        <v>0</v>
      </c>
      <c r="DH106" s="48">
        <f t="shared" si="1485"/>
        <v>0</v>
      </c>
      <c r="DI106" s="62">
        <v>1044</v>
      </c>
      <c r="DJ106" s="62">
        <v>256971.47</v>
      </c>
      <c r="DK106" s="48">
        <f t="shared" si="1486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87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88"/>
        <v>0</v>
      </c>
      <c r="DV106" s="62">
        <v>0</v>
      </c>
      <c r="DW106" s="62">
        <v>0</v>
      </c>
      <c r="DX106" s="62">
        <f t="shared" si="1489"/>
        <v>0</v>
      </c>
      <c r="DY106" s="62">
        <f t="shared" si="1490"/>
        <v>0</v>
      </c>
      <c r="DZ106" s="48">
        <f t="shared" si="1491"/>
        <v>0</v>
      </c>
      <c r="EA106" s="62">
        <f t="shared" si="1492"/>
        <v>0</v>
      </c>
      <c r="EB106" s="62">
        <f t="shared" si="1493"/>
        <v>0</v>
      </c>
      <c r="EC106" s="48">
        <f t="shared" si="1494"/>
        <v>0</v>
      </c>
      <c r="ED106" s="62">
        <f t="shared" si="1495"/>
        <v>0</v>
      </c>
      <c r="EE106" s="62">
        <f t="shared" si="1496"/>
        <v>0</v>
      </c>
      <c r="EF106" s="48">
        <f t="shared" si="1497"/>
        <v>0</v>
      </c>
      <c r="EG106" s="62">
        <f t="shared" si="1498"/>
        <v>0</v>
      </c>
      <c r="EH106" s="62">
        <f t="shared" si="1499"/>
        <v>0</v>
      </c>
      <c r="EI106" s="48">
        <f t="shared" si="1500"/>
        <v>0</v>
      </c>
      <c r="EJ106" s="62">
        <f t="shared" si="1501"/>
        <v>0</v>
      </c>
      <c r="EK106" s="62">
        <f t="shared" si="1502"/>
        <v>0</v>
      </c>
      <c r="EL106" s="48">
        <f t="shared" si="1503"/>
        <v>0</v>
      </c>
      <c r="EM106" s="62">
        <f t="shared" si="1504"/>
        <v>0</v>
      </c>
      <c r="EN106" s="62">
        <f t="shared" si="1505"/>
        <v>0</v>
      </c>
      <c r="EO106" s="48">
        <f t="shared" si="1506"/>
        <v>0</v>
      </c>
      <c r="EP106" s="62">
        <f t="shared" si="1507"/>
        <v>22891.02</v>
      </c>
      <c r="EQ106" s="62">
        <f t="shared" si="1507"/>
        <v>22891.02</v>
      </c>
      <c r="ER106" s="62">
        <f t="shared" si="1507"/>
        <v>22891.02</v>
      </c>
      <c r="ES106" s="62">
        <f t="shared" si="1508"/>
        <v>22891.02</v>
      </c>
      <c r="ET106" s="62">
        <f t="shared" si="1508"/>
        <v>22891.02</v>
      </c>
      <c r="EU106" s="62">
        <f t="shared" si="1508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509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 t="shared" si="1034"/>
        <v>1</v>
      </c>
      <c r="FS106" s="104" t="b">
        <f t="shared" si="1035"/>
        <v>0</v>
      </c>
      <c r="FT106" s="104" t="b">
        <f t="shared" si="1036"/>
        <v>1</v>
      </c>
      <c r="FU106" s="104" t="b">
        <f t="shared" si="1037"/>
        <v>0</v>
      </c>
      <c r="FV106" s="104" t="b">
        <f t="shared" si="1038"/>
        <v>1</v>
      </c>
      <c r="FW106" s="104" t="b">
        <f t="shared" si="1094"/>
        <v>0</v>
      </c>
      <c r="FX106" s="104" t="b">
        <f t="shared" si="1510"/>
        <v>1</v>
      </c>
      <c r="FY106" s="104" t="s">
        <v>214</v>
      </c>
      <c r="FZ106" s="104" t="b">
        <f t="shared" si="1511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12"/>
        <v>1</v>
      </c>
      <c r="GI106" s="108" t="b">
        <f t="shared" si="1513"/>
        <v>0</v>
      </c>
    </row>
    <row r="107" spans="1:193" s="31" customFormat="1" ht="30" hidden="1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54"/>
        <v>нет минмакс</v>
      </c>
      <c r="Q107" s="95">
        <v>1633</v>
      </c>
      <c r="R107" s="95">
        <f t="shared" si="1455"/>
        <v>29932.889999999996</v>
      </c>
      <c r="S107" s="112">
        <v>1633</v>
      </c>
      <c r="T107" s="112">
        <v>29932.889999999996</v>
      </c>
      <c r="U107" s="112">
        <f t="shared" si="1456"/>
        <v>0</v>
      </c>
      <c r="V107" s="113">
        <f t="shared" si="1457"/>
        <v>1633</v>
      </c>
      <c r="W107" s="113">
        <f t="shared" si="1458"/>
        <v>29932.889999999996</v>
      </c>
      <c r="X107" s="113">
        <f t="shared" si="1459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60"/>
        <v>0</v>
      </c>
      <c r="AF107" s="95">
        <f t="shared" si="1461"/>
        <v>29932.889999999996</v>
      </c>
      <c r="AG107" s="114">
        <v>0</v>
      </c>
      <c r="AH107" s="95">
        <f t="shared" si="1462"/>
        <v>1633</v>
      </c>
      <c r="AI107" s="115">
        <f t="shared" si="1463"/>
        <v>29932.889999999996</v>
      </c>
      <c r="AJ107" s="95">
        <f t="shared" si="1464"/>
        <v>0</v>
      </c>
      <c r="AK107" s="95">
        <f t="shared" si="1516"/>
        <v>0</v>
      </c>
      <c r="AL107" s="95">
        <f t="shared" si="1466"/>
        <v>0</v>
      </c>
      <c r="AM107" s="95">
        <f t="shared" si="1467"/>
        <v>7.75</v>
      </c>
      <c r="AN107" s="95">
        <f t="shared" si="1468"/>
        <v>6321.2903225806458</v>
      </c>
      <c r="AO107" s="95" t="str">
        <f t="shared" si="1469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70"/>
        <v>0-25 более 24</v>
      </c>
      <c r="AW107" s="117">
        <f t="shared" si="1471"/>
        <v>29932.889999999996</v>
      </c>
      <c r="AX107" s="14">
        <f t="shared" ref="AX107:AX108" si="1520">MONTH(BC107)-6</f>
        <v>6</v>
      </c>
      <c r="AY107" s="25">
        <f t="shared" si="1473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74"/>
        <v>0</v>
      </c>
      <c r="BG107" s="29">
        <v>0</v>
      </c>
      <c r="BH107" s="29">
        <f t="shared" si="1475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76"/>
        <v>7.75</v>
      </c>
      <c r="BR107" s="95">
        <f t="shared" si="1477"/>
        <v>1633</v>
      </c>
      <c r="BS107" s="95">
        <f t="shared" si="1514"/>
        <v>1633</v>
      </c>
      <c r="BT107" s="95">
        <f t="shared" si="1514"/>
        <v>1633</v>
      </c>
      <c r="BU107" s="95">
        <f t="shared" si="1514"/>
        <v>1633</v>
      </c>
      <c r="BV107" s="95">
        <f t="shared" si="1514"/>
        <v>1633</v>
      </c>
      <c r="BW107" s="95">
        <f t="shared" si="1514"/>
        <v>1625.25</v>
      </c>
      <c r="BX107" s="95">
        <f t="shared" si="1519"/>
        <v>1617.5</v>
      </c>
      <c r="BY107" s="95">
        <f t="shared" si="1519"/>
        <v>1609.75</v>
      </c>
      <c r="BZ107" s="95">
        <f t="shared" si="1519"/>
        <v>1602</v>
      </c>
      <c r="CA107" s="95">
        <f t="shared" si="1519"/>
        <v>1594.25</v>
      </c>
      <c r="CB107" s="95">
        <f t="shared" si="1519"/>
        <v>1586.5</v>
      </c>
      <c r="CC107" s="95">
        <f t="shared" si="1519"/>
        <v>1578.75</v>
      </c>
      <c r="CD107" s="95">
        <f t="shared" si="1519"/>
        <v>1571</v>
      </c>
      <c r="CE107" s="95">
        <f t="shared" si="1519"/>
        <v>1563.25</v>
      </c>
      <c r="CF107" s="95">
        <f t="shared" si="1519"/>
        <v>1555.5</v>
      </c>
      <c r="CG107" s="95">
        <f t="shared" si="1519"/>
        <v>1547.75</v>
      </c>
      <c r="CH107" s="95">
        <f t="shared" si="1519"/>
        <v>1540</v>
      </c>
      <c r="CI107" s="95">
        <f t="shared" si="1519"/>
        <v>1532.25</v>
      </c>
      <c r="CJ107" s="95">
        <f t="shared" si="1519"/>
        <v>1524.5</v>
      </c>
      <c r="CK107" s="95">
        <f t="shared" si="1519"/>
        <v>1516.75</v>
      </c>
      <c r="CL107" s="95">
        <f t="shared" si="1519"/>
        <v>1509</v>
      </c>
      <c r="CM107" s="95">
        <f t="shared" si="1519"/>
        <v>1501.25</v>
      </c>
      <c r="CN107" s="95">
        <f t="shared" si="1519"/>
        <v>1493.5</v>
      </c>
      <c r="CO107" s="95">
        <f t="shared" si="1519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80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81"/>
        <v>0</v>
      </c>
      <c r="DB107" s="62">
        <f t="shared" si="1482"/>
        <v>0</v>
      </c>
      <c r="DC107" s="62">
        <f t="shared" si="1483"/>
        <v>0</v>
      </c>
      <c r="DD107" s="102">
        <f t="shared" si="1484"/>
        <v>0</v>
      </c>
      <c r="DE107" s="31">
        <v>0</v>
      </c>
      <c r="DF107" s="31">
        <v>90</v>
      </c>
      <c r="DG107" s="31">
        <v>0</v>
      </c>
      <c r="DH107" s="48">
        <f t="shared" si="1485"/>
        <v>0</v>
      </c>
      <c r="DI107" s="62">
        <v>1633</v>
      </c>
      <c r="DJ107" s="62">
        <v>29939.23</v>
      </c>
      <c r="DK107" s="48">
        <f t="shared" si="1486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87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88"/>
        <v>0</v>
      </c>
      <c r="DV107" s="62">
        <v>0</v>
      </c>
      <c r="DW107" s="62">
        <v>0</v>
      </c>
      <c r="DX107" s="62">
        <f t="shared" si="1489"/>
        <v>0</v>
      </c>
      <c r="DY107" s="62">
        <f t="shared" si="1490"/>
        <v>0</v>
      </c>
      <c r="DZ107" s="48">
        <f t="shared" si="1491"/>
        <v>0</v>
      </c>
      <c r="EA107" s="62">
        <f t="shared" si="1492"/>
        <v>0</v>
      </c>
      <c r="EB107" s="62">
        <f t="shared" si="1493"/>
        <v>0</v>
      </c>
      <c r="EC107" s="48">
        <f t="shared" si="1494"/>
        <v>0</v>
      </c>
      <c r="ED107" s="62">
        <f t="shared" si="1495"/>
        <v>0</v>
      </c>
      <c r="EE107" s="62">
        <f t="shared" si="1496"/>
        <v>0</v>
      </c>
      <c r="EF107" s="48">
        <f t="shared" si="1497"/>
        <v>0</v>
      </c>
      <c r="EG107" s="62">
        <f t="shared" si="1498"/>
        <v>0</v>
      </c>
      <c r="EH107" s="62">
        <f t="shared" si="1499"/>
        <v>0</v>
      </c>
      <c r="EI107" s="48">
        <f t="shared" si="1500"/>
        <v>0</v>
      </c>
      <c r="EJ107" s="62">
        <f t="shared" si="1501"/>
        <v>0</v>
      </c>
      <c r="EK107" s="62">
        <f t="shared" si="1502"/>
        <v>0</v>
      </c>
      <c r="EL107" s="48">
        <f t="shared" si="1503"/>
        <v>0</v>
      </c>
      <c r="EM107" s="62">
        <f t="shared" si="1504"/>
        <v>23.25</v>
      </c>
      <c r="EN107" s="62">
        <f t="shared" si="1505"/>
        <v>426.17249999999996</v>
      </c>
      <c r="EO107" s="48">
        <f t="shared" si="1506"/>
        <v>0</v>
      </c>
      <c r="EP107" s="62">
        <f t="shared" si="1507"/>
        <v>0</v>
      </c>
      <c r="EQ107" s="62">
        <f t="shared" si="1507"/>
        <v>0</v>
      </c>
      <c r="ER107" s="62">
        <f t="shared" si="1507"/>
        <v>0</v>
      </c>
      <c r="ES107" s="62">
        <f t="shared" si="1508"/>
        <v>0</v>
      </c>
      <c r="ET107" s="62">
        <f t="shared" si="1508"/>
        <v>0</v>
      </c>
      <c r="EU107" s="62">
        <f t="shared" si="1508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509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 t="shared" si="1034"/>
        <v>1</v>
      </c>
      <c r="FS107" s="103" t="b">
        <f t="shared" si="1035"/>
        <v>1</v>
      </c>
      <c r="FT107" s="103" t="b">
        <f t="shared" si="1036"/>
        <v>1</v>
      </c>
      <c r="FU107" s="103" t="b">
        <f t="shared" si="1037"/>
        <v>0</v>
      </c>
      <c r="FV107" s="103" t="b">
        <f t="shared" si="1038"/>
        <v>1</v>
      </c>
      <c r="FW107" s="104" t="b">
        <f t="shared" si="1094"/>
        <v>0</v>
      </c>
      <c r="FX107" s="120" t="b">
        <f t="shared" si="1510"/>
        <v>1</v>
      </c>
      <c r="FY107" s="104" t="s">
        <v>214</v>
      </c>
      <c r="FZ107" s="104" t="b">
        <f t="shared" si="1511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12"/>
        <v>1</v>
      </c>
      <c r="GI107" s="8" t="b">
        <f t="shared" si="1513"/>
        <v>0</v>
      </c>
    </row>
    <row r="108" spans="1:193" s="31" customFormat="1" hidden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54"/>
        <v>нет минмакс</v>
      </c>
      <c r="Q108" s="95">
        <v>5451</v>
      </c>
      <c r="R108" s="95">
        <f t="shared" si="1455"/>
        <v>15044.759999999998</v>
      </c>
      <c r="S108" s="112">
        <v>5451</v>
      </c>
      <c r="T108" s="112">
        <v>15044.759999999998</v>
      </c>
      <c r="U108" s="112">
        <f t="shared" si="1456"/>
        <v>0</v>
      </c>
      <c r="V108" s="113">
        <f t="shared" si="1457"/>
        <v>5451</v>
      </c>
      <c r="W108" s="113">
        <f t="shared" si="1458"/>
        <v>15044.759999999998</v>
      </c>
      <c r="X108" s="113">
        <f t="shared" si="1459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60"/>
        <v>0</v>
      </c>
      <c r="AF108" s="95">
        <f t="shared" si="1461"/>
        <v>0</v>
      </c>
      <c r="AG108" s="114">
        <v>0</v>
      </c>
      <c r="AH108" s="95">
        <f t="shared" si="1462"/>
        <v>5451</v>
      </c>
      <c r="AI108" s="115">
        <f t="shared" si="1463"/>
        <v>15044.759999999998</v>
      </c>
      <c r="AJ108" s="95">
        <f t="shared" si="1464"/>
        <v>0</v>
      </c>
      <c r="AK108" s="95">
        <f t="shared" si="1516"/>
        <v>0</v>
      </c>
      <c r="AL108" s="95">
        <f t="shared" si="1466"/>
        <v>0</v>
      </c>
      <c r="AM108" s="95">
        <f t="shared" si="1467"/>
        <v>93</v>
      </c>
      <c r="AN108" s="95">
        <f t="shared" si="1468"/>
        <v>1758.3870967741934</v>
      </c>
      <c r="AO108" s="95" t="str">
        <f t="shared" si="1469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70"/>
        <v>0-25 более 24</v>
      </c>
      <c r="AW108" s="117">
        <f t="shared" si="1471"/>
        <v>15044.759999999998</v>
      </c>
      <c r="AX108" s="14">
        <f t="shared" si="1520"/>
        <v>6</v>
      </c>
      <c r="AY108" s="25">
        <f t="shared" si="1473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74"/>
        <v>0</v>
      </c>
      <c r="BG108" s="29">
        <v>0</v>
      </c>
      <c r="BH108" s="29">
        <f t="shared" si="1475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76"/>
        <v>93</v>
      </c>
      <c r="BR108" s="95">
        <f t="shared" si="1477"/>
        <v>5451</v>
      </c>
      <c r="BS108" s="95">
        <f t="shared" si="1514"/>
        <v>5451</v>
      </c>
      <c r="BT108" s="95">
        <f t="shared" si="1514"/>
        <v>5451</v>
      </c>
      <c r="BU108" s="95">
        <f t="shared" si="1514"/>
        <v>5451</v>
      </c>
      <c r="BV108" s="95">
        <f t="shared" si="1514"/>
        <v>5451</v>
      </c>
      <c r="BW108" s="95">
        <f t="shared" si="1514"/>
        <v>5358</v>
      </c>
      <c r="BX108" s="95">
        <f t="shared" si="1519"/>
        <v>5265</v>
      </c>
      <c r="BY108" s="95">
        <f t="shared" si="1519"/>
        <v>5172</v>
      </c>
      <c r="BZ108" s="95">
        <f t="shared" si="1519"/>
        <v>5079</v>
      </c>
      <c r="CA108" s="95">
        <f t="shared" si="1519"/>
        <v>4986</v>
      </c>
      <c r="CB108" s="95">
        <f t="shared" si="1519"/>
        <v>4893</v>
      </c>
      <c r="CC108" s="95">
        <f t="shared" si="1519"/>
        <v>4800</v>
      </c>
      <c r="CD108" s="95">
        <f t="shared" si="1519"/>
        <v>4707</v>
      </c>
      <c r="CE108" s="95">
        <f t="shared" si="1519"/>
        <v>4614</v>
      </c>
      <c r="CF108" s="95">
        <f t="shared" si="1519"/>
        <v>4521</v>
      </c>
      <c r="CG108" s="95">
        <f t="shared" si="1519"/>
        <v>4428</v>
      </c>
      <c r="CH108" s="95">
        <f t="shared" si="1519"/>
        <v>4335</v>
      </c>
      <c r="CI108" s="95">
        <f t="shared" si="1519"/>
        <v>4242</v>
      </c>
      <c r="CJ108" s="95">
        <f t="shared" si="1519"/>
        <v>4149</v>
      </c>
      <c r="CK108" s="95">
        <f t="shared" si="1519"/>
        <v>4056</v>
      </c>
      <c r="CL108" s="95">
        <f t="shared" si="1519"/>
        <v>3963</v>
      </c>
      <c r="CM108" s="95">
        <f t="shared" si="1519"/>
        <v>3870</v>
      </c>
      <c r="CN108" s="95">
        <f t="shared" si="1519"/>
        <v>3777</v>
      </c>
      <c r="CO108" s="95">
        <f t="shared" si="1519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80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81"/>
        <v>0</v>
      </c>
      <c r="DB108" s="62">
        <f t="shared" si="1482"/>
        <v>0</v>
      </c>
      <c r="DC108" s="62">
        <f t="shared" si="1483"/>
        <v>0</v>
      </c>
      <c r="DD108" s="102">
        <f t="shared" si="1484"/>
        <v>0</v>
      </c>
      <c r="DE108" s="31">
        <v>0</v>
      </c>
      <c r="DF108" s="31">
        <v>90</v>
      </c>
      <c r="DG108" s="31">
        <v>0</v>
      </c>
      <c r="DH108" s="48">
        <f t="shared" si="1485"/>
        <v>0</v>
      </c>
      <c r="DI108" s="62">
        <v>5451</v>
      </c>
      <c r="DJ108" s="62">
        <v>15069.36</v>
      </c>
      <c r="DK108" s="48">
        <f t="shared" si="1486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87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88"/>
        <v>0</v>
      </c>
      <c r="DV108" s="62">
        <v>0</v>
      </c>
      <c r="DW108" s="62">
        <v>0</v>
      </c>
      <c r="DX108" s="62">
        <f t="shared" si="1489"/>
        <v>0</v>
      </c>
      <c r="DY108" s="62">
        <f t="shared" si="1490"/>
        <v>0</v>
      </c>
      <c r="DZ108" s="48">
        <f t="shared" si="1491"/>
        <v>0</v>
      </c>
      <c r="EA108" s="62">
        <f t="shared" si="1492"/>
        <v>0</v>
      </c>
      <c r="EB108" s="62">
        <f t="shared" si="1493"/>
        <v>0</v>
      </c>
      <c r="EC108" s="48">
        <f t="shared" si="1494"/>
        <v>0</v>
      </c>
      <c r="ED108" s="62">
        <f t="shared" si="1495"/>
        <v>0</v>
      </c>
      <c r="EE108" s="62">
        <f t="shared" si="1496"/>
        <v>0</v>
      </c>
      <c r="EF108" s="48">
        <f t="shared" si="1497"/>
        <v>0</v>
      </c>
      <c r="EG108" s="62">
        <f t="shared" si="1498"/>
        <v>0</v>
      </c>
      <c r="EH108" s="62">
        <f t="shared" si="1499"/>
        <v>0</v>
      </c>
      <c r="EI108" s="48">
        <f t="shared" si="1500"/>
        <v>0</v>
      </c>
      <c r="EJ108" s="62">
        <f t="shared" si="1501"/>
        <v>0</v>
      </c>
      <c r="EK108" s="62">
        <f t="shared" si="1502"/>
        <v>0</v>
      </c>
      <c r="EL108" s="48">
        <f t="shared" si="1503"/>
        <v>0</v>
      </c>
      <c r="EM108" s="62">
        <f t="shared" si="1504"/>
        <v>279</v>
      </c>
      <c r="EN108" s="62">
        <f t="shared" si="1505"/>
        <v>770.04</v>
      </c>
      <c r="EO108" s="48">
        <f t="shared" si="1506"/>
        <v>0</v>
      </c>
      <c r="EP108" s="62">
        <f t="shared" si="1507"/>
        <v>0</v>
      </c>
      <c r="EQ108" s="62">
        <f t="shared" si="1507"/>
        <v>0</v>
      </c>
      <c r="ER108" s="62">
        <f t="shared" si="1507"/>
        <v>0</v>
      </c>
      <c r="ES108" s="62">
        <f t="shared" si="1508"/>
        <v>0</v>
      </c>
      <c r="ET108" s="62">
        <f t="shared" si="1508"/>
        <v>0</v>
      </c>
      <c r="EU108" s="62">
        <f t="shared" si="1508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509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 t="shared" si="1034"/>
        <v>1</v>
      </c>
      <c r="FS108" s="103" t="b">
        <f t="shared" si="1035"/>
        <v>1</v>
      </c>
      <c r="FT108" s="103" t="b">
        <f t="shared" si="1036"/>
        <v>1</v>
      </c>
      <c r="FU108" s="103" t="b">
        <f t="shared" si="1037"/>
        <v>0</v>
      </c>
      <c r="FV108" s="103" t="b">
        <f t="shared" si="1038"/>
        <v>1</v>
      </c>
      <c r="FW108" s="104" t="b">
        <f t="shared" si="1094"/>
        <v>0</v>
      </c>
      <c r="FX108" s="120" t="b">
        <f t="shared" si="1510"/>
        <v>1</v>
      </c>
      <c r="FY108" s="104" t="s">
        <v>214</v>
      </c>
      <c r="FZ108" s="104" t="b">
        <f t="shared" si="1511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12"/>
        <v>1</v>
      </c>
      <c r="GI108" s="8" t="b">
        <f t="shared" si="1513"/>
        <v>0</v>
      </c>
    </row>
    <row r="109" spans="1:193" s="31" customFormat="1" hidden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21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22">Q109*FH109</f>
        <v>0</v>
      </c>
      <c r="S109" s="94">
        <v>0</v>
      </c>
      <c r="T109" s="94">
        <v>0</v>
      </c>
      <c r="U109" s="94">
        <f t="shared" ref="U109:U110" si="1523">IFERROR(ROUNDUP(S109/$EX109,0)*$EY109,0)</f>
        <v>0</v>
      </c>
      <c r="V109" s="94">
        <f t="shared" ref="V109:V110" si="1524">SUM(Z109:AD109)</f>
        <v>0</v>
      </c>
      <c r="W109" s="94">
        <f t="shared" ref="W109:W110" si="1525">V109*FH109</f>
        <v>0</v>
      </c>
      <c r="X109" s="94">
        <f t="shared" ref="X109:X110" si="1526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27">AA109*FH109</f>
        <v>0</v>
      </c>
      <c r="AF109" s="95">
        <f t="shared" ref="AF109:AF110" si="1528">AB109*FH109</f>
        <v>0</v>
      </c>
      <c r="AG109" s="96">
        <v>0</v>
      </c>
      <c r="AH109" s="95">
        <f t="shared" ref="AH109:AH110" si="1529">V109-AG109</f>
        <v>0</v>
      </c>
      <c r="AI109" s="94">
        <f t="shared" ref="AI109:AI110" si="1530">IF(AH109&gt;0,AH109*FH109,0)</f>
        <v>0</v>
      </c>
      <c r="AJ109" s="94">
        <f t="shared" ref="AJ109:AJ110" si="1531">CU109</f>
        <v>0</v>
      </c>
      <c r="AK109" s="94">
        <f t="shared" ref="AK109:AK110" si="1532">SUM(CS109:CU109)</f>
        <v>0</v>
      </c>
      <c r="AL109" s="94">
        <f t="shared" ref="AL109:AL110" si="1533">SUM(CP109:CU109)</f>
        <v>0</v>
      </c>
      <c r="AM109" s="94">
        <f t="shared" ref="AM109:AM110" si="1534">SUM(BK109:BP109)</f>
        <v>0</v>
      </c>
      <c r="AN109" s="94" t="str">
        <f t="shared" ref="AN109:AN110" si="1535">IFERROR(S109/BQ109*30,"нет оборота")</f>
        <v>нет оборота</v>
      </c>
      <c r="AO109" s="94" t="str">
        <f t="shared" ref="AO109:AO110" si="1536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37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38">IF(AT109="Да",W109,0)</f>
        <v>0</v>
      </c>
      <c r="AX109" s="93"/>
      <c r="AY109" s="94">
        <f t="shared" ref="AY109:AY110" si="1539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40">BE109*FH109</f>
        <v>0</v>
      </c>
      <c r="BG109" s="29">
        <v>0</v>
      </c>
      <c r="BH109" s="29">
        <f t="shared" ref="BH109:BH110" si="1541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42">IF(COUNTIF(BK109:BP109,"&gt;0")=0,0,SUM(BK109:BP109)/COUNTIF(BK109:BP109,"&gt;0"))</f>
        <v>0</v>
      </c>
      <c r="BR109" s="95">
        <f t="shared" ref="BR109:BR110" si="1543">IF(OR(Q109=0,SUM(BK109:BP109)=0,V109&gt;Q109),V109-BK109,Q109-BK109)</f>
        <v>0</v>
      </c>
      <c r="BS109" s="95">
        <f t="shared" ref="BS109:BW109" si="1544">BR109-BL109</f>
        <v>0</v>
      </c>
      <c r="BT109" s="95">
        <f t="shared" si="1544"/>
        <v>0</v>
      </c>
      <c r="BU109" s="95">
        <f t="shared" si="1544"/>
        <v>0</v>
      </c>
      <c r="BV109" s="95">
        <f t="shared" si="1544"/>
        <v>0</v>
      </c>
      <c r="BW109" s="95">
        <f t="shared" si="1544"/>
        <v>0</v>
      </c>
      <c r="BX109" s="95">
        <f t="shared" ref="BX109:CO110" si="1545">BW109-$BQ109</f>
        <v>0</v>
      </c>
      <c r="BY109" s="95">
        <f t="shared" si="1545"/>
        <v>0</v>
      </c>
      <c r="BZ109" s="95">
        <f t="shared" si="1545"/>
        <v>0</v>
      </c>
      <c r="CA109" s="95">
        <f t="shared" si="1545"/>
        <v>0</v>
      </c>
      <c r="CB109" s="95">
        <f t="shared" si="1545"/>
        <v>0</v>
      </c>
      <c r="CC109" s="95">
        <f t="shared" si="1545"/>
        <v>0</v>
      </c>
      <c r="CD109" s="95">
        <f t="shared" si="1545"/>
        <v>0</v>
      </c>
      <c r="CE109" s="95">
        <f t="shared" si="1545"/>
        <v>0</v>
      </c>
      <c r="CF109" s="95">
        <f t="shared" si="1545"/>
        <v>0</v>
      </c>
      <c r="CG109" s="95">
        <f t="shared" si="1545"/>
        <v>0</v>
      </c>
      <c r="CH109" s="95">
        <f t="shared" si="1545"/>
        <v>0</v>
      </c>
      <c r="CI109" s="95">
        <f t="shared" si="1545"/>
        <v>0</v>
      </c>
      <c r="CJ109" s="95">
        <f t="shared" si="1545"/>
        <v>0</v>
      </c>
      <c r="CK109" s="95">
        <f t="shared" si="1545"/>
        <v>0</v>
      </c>
      <c r="CL109" s="95">
        <f t="shared" si="1545"/>
        <v>0</v>
      </c>
      <c r="CM109" s="95">
        <f t="shared" si="1545"/>
        <v>0</v>
      </c>
      <c r="CN109" s="95">
        <f t="shared" si="1545"/>
        <v>0</v>
      </c>
      <c r="CO109" s="95">
        <f t="shared" si="1545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46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47">IFERROR(CZ109/CY109,0)</f>
        <v>0</v>
      </c>
      <c r="DB109" s="62">
        <f t="shared" ref="DB109:DB110" si="1548">CY109*FH109</f>
        <v>0</v>
      </c>
      <c r="DC109" s="62">
        <f t="shared" ref="DC109:DC110" si="1549">CZ109*FH109</f>
        <v>0</v>
      </c>
      <c r="DD109" s="102">
        <f t="shared" ref="DD109:DD110" si="1550">IFERROR(DC109/DB109,0)</f>
        <v>0</v>
      </c>
      <c r="DE109" s="31">
        <v>0</v>
      </c>
      <c r="DG109" s="31">
        <v>0</v>
      </c>
      <c r="DH109" s="48">
        <f t="shared" ref="DH109:DH110" si="1551">IFERROR(ROUNDUP(DG109/$EX109,0)*$EY109,0)</f>
        <v>0</v>
      </c>
      <c r="DI109" s="62">
        <v>0</v>
      </c>
      <c r="DJ109" s="62">
        <v>0</v>
      </c>
      <c r="DK109" s="48">
        <f t="shared" ref="DK109:DK110" si="1552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53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54">IFERROR(ROUNDUP(DS109/$EX109,0)*$EY109,0)</f>
        <v>0</v>
      </c>
      <c r="DV109" s="62">
        <v>0</v>
      </c>
      <c r="DW109" s="62">
        <v>0</v>
      </c>
      <c r="DX109" s="62">
        <f t="shared" ref="DX109:DX110" si="1555">$DF109*BK109/30</f>
        <v>0</v>
      </c>
      <c r="DY109" s="62">
        <f t="shared" ref="DY109:DY110" si="1556">DX109*$FH109</f>
        <v>0</v>
      </c>
      <c r="DZ109" s="48">
        <f t="shared" ref="DZ109:DZ110" si="1557">IFERROR(ROUNDUP(DX109/$EX109,0)*$EY109,0)</f>
        <v>0</v>
      </c>
      <c r="EA109" s="62">
        <f t="shared" ref="EA109:EA110" si="1558">$DF109*BL109/30</f>
        <v>0</v>
      </c>
      <c r="EB109" s="62">
        <f t="shared" ref="EB109:EB110" si="1559">EA109*$FH109</f>
        <v>0</v>
      </c>
      <c r="EC109" s="48">
        <f t="shared" ref="EC109:EC110" si="1560">IFERROR(ROUNDUP(EA109/$EX109,0)*$EY109,0)</f>
        <v>0</v>
      </c>
      <c r="ED109" s="62">
        <f t="shared" ref="ED109:ED110" si="1561">$DF109*BM109/30</f>
        <v>0</v>
      </c>
      <c r="EE109" s="62">
        <f t="shared" ref="EE109:EE110" si="1562">ED109*$FH109</f>
        <v>0</v>
      </c>
      <c r="EF109" s="48">
        <f t="shared" ref="EF109:EF110" si="1563">IFERROR(ROUNDUP(ED109/$EX109,0)*$EY109,0)</f>
        <v>0</v>
      </c>
      <c r="EG109" s="62">
        <f t="shared" ref="EG109:EG110" si="1564">$DF109*BN109/30</f>
        <v>0</v>
      </c>
      <c r="EH109" s="62">
        <f t="shared" ref="EH109:EH110" si="1565">EG109*$FH109</f>
        <v>0</v>
      </c>
      <c r="EI109" s="48">
        <f t="shared" ref="EI109:EI110" si="1566">IFERROR(ROUNDUP(EG109/$EX109,0)*$EY109,0)</f>
        <v>0</v>
      </c>
      <c r="EJ109" s="62">
        <f t="shared" ref="EJ109:EJ110" si="1567">$DF109*BO109/30</f>
        <v>0</v>
      </c>
      <c r="EK109" s="62">
        <f t="shared" ref="EK109:EK110" si="1568">EJ109*$FH109</f>
        <v>0</v>
      </c>
      <c r="EL109" s="48">
        <f t="shared" ref="EL109:EL110" si="1569">IFERROR(ROUNDUP(EJ109/$EX109,0)*$EY109,0)</f>
        <v>0</v>
      </c>
      <c r="EM109" s="62">
        <f t="shared" ref="EM109:EM110" si="1570">$DF109*BP109/30</f>
        <v>0</v>
      </c>
      <c r="EN109" s="62">
        <f t="shared" ref="EN109:EN110" si="1571">EM109*$FH109</f>
        <v>0</v>
      </c>
      <c r="EO109" s="48">
        <f t="shared" ref="EO109:EO110" si="1572">IFERROR(ROUNDUP(EM109/$EX109,0)*$EY109,0)</f>
        <v>0</v>
      </c>
      <c r="EP109" s="62">
        <f t="shared" ref="EP109:ER110" si="1573">BK109*$FH109</f>
        <v>0</v>
      </c>
      <c r="EQ109" s="62">
        <f t="shared" si="1573"/>
        <v>0</v>
      </c>
      <c r="ER109" s="62">
        <f t="shared" si="1573"/>
        <v>0</v>
      </c>
      <c r="ES109" s="62">
        <f t="shared" ref="ES109:EU110" si="1574">BN109*$FH109</f>
        <v>0</v>
      </c>
      <c r="ET109" s="62">
        <f t="shared" si="1574"/>
        <v>0</v>
      </c>
      <c r="EU109" s="62">
        <f t="shared" si="1574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75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 t="shared" si="1034"/>
        <v>1</v>
      </c>
      <c r="FS109" s="104" t="b">
        <f t="shared" si="1035"/>
        <v>1</v>
      </c>
      <c r="FT109" s="104" t="b">
        <f t="shared" si="1036"/>
        <v>0</v>
      </c>
      <c r="FU109" s="104" t="b">
        <f t="shared" si="1037"/>
        <v>0</v>
      </c>
      <c r="FV109" s="104" t="b">
        <f t="shared" si="1038"/>
        <v>1</v>
      </c>
      <c r="FW109" s="104" t="b">
        <f t="shared" si="1094"/>
        <v>0</v>
      </c>
      <c r="FX109" s="104" t="b">
        <f t="shared" ref="FX109:FX110" si="1576">EXACT(FQ109,BI109)</f>
        <v>1</v>
      </c>
      <c r="FY109" s="104" t="s">
        <v>214</v>
      </c>
      <c r="FZ109" s="104" t="b">
        <f t="shared" ref="FZ109:FZ110" si="1577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78">EXACT(GD109,C109)</f>
        <v>1</v>
      </c>
      <c r="GI109" s="108" t="b">
        <f t="shared" ref="GI109:GI110" si="1579">EXACT(GG109,G109)</f>
        <v>0</v>
      </c>
    </row>
    <row r="110" spans="1:193" s="31" customFormat="1" ht="30" hidden="1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21"/>
        <v>нет минмакс</v>
      </c>
      <c r="Q110" s="95">
        <v>29</v>
      </c>
      <c r="R110" s="95">
        <f t="shared" si="1522"/>
        <v>0.87</v>
      </c>
      <c r="S110" s="112">
        <v>29</v>
      </c>
      <c r="T110" s="112">
        <v>0.87</v>
      </c>
      <c r="U110" s="112">
        <f t="shared" si="1523"/>
        <v>0</v>
      </c>
      <c r="V110" s="113">
        <f t="shared" si="1524"/>
        <v>29</v>
      </c>
      <c r="W110" s="113">
        <f t="shared" si="1525"/>
        <v>0.87</v>
      </c>
      <c r="X110" s="113">
        <f t="shared" si="1526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27"/>
        <v>0</v>
      </c>
      <c r="AF110" s="95">
        <f t="shared" si="1528"/>
        <v>0</v>
      </c>
      <c r="AG110" s="114">
        <v>0</v>
      </c>
      <c r="AH110" s="95">
        <f t="shared" si="1529"/>
        <v>29</v>
      </c>
      <c r="AI110" s="115">
        <f t="shared" si="1530"/>
        <v>0.87</v>
      </c>
      <c r="AJ110" s="95">
        <f t="shared" si="1531"/>
        <v>0</v>
      </c>
      <c r="AK110" s="95">
        <f t="shared" si="1532"/>
        <v>0</v>
      </c>
      <c r="AL110" s="95">
        <f t="shared" si="1533"/>
        <v>0</v>
      </c>
      <c r="AM110" s="95">
        <f t="shared" si="1534"/>
        <v>0</v>
      </c>
      <c r="AN110" s="95" t="str">
        <f t="shared" si="1535"/>
        <v>нет оборота</v>
      </c>
      <c r="AO110" s="95" t="str">
        <f t="shared" si="1536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37"/>
        <v>Нет планов</v>
      </c>
      <c r="AW110" s="117">
        <f t="shared" si="1538"/>
        <v>0.87</v>
      </c>
      <c r="AX110" s="14">
        <f>MONTH(BC110)-6</f>
        <v>4</v>
      </c>
      <c r="AY110" s="25">
        <f t="shared" si="1539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40"/>
        <v>0</v>
      </c>
      <c r="BG110" s="29">
        <v>0</v>
      </c>
      <c r="BH110" s="29">
        <f t="shared" si="1541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42"/>
        <v>0</v>
      </c>
      <c r="BR110" s="95">
        <f t="shared" si="1543"/>
        <v>29</v>
      </c>
      <c r="BS110" s="95">
        <f t="shared" ref="BS110:BW110" si="1580">BR110-BL110</f>
        <v>29</v>
      </c>
      <c r="BT110" s="95">
        <f t="shared" si="1580"/>
        <v>29</v>
      </c>
      <c r="BU110" s="95">
        <f t="shared" si="1580"/>
        <v>29</v>
      </c>
      <c r="BV110" s="95">
        <f t="shared" si="1580"/>
        <v>29</v>
      </c>
      <c r="BW110" s="95">
        <f t="shared" si="1580"/>
        <v>29</v>
      </c>
      <c r="BX110" s="95">
        <f t="shared" si="1545"/>
        <v>29</v>
      </c>
      <c r="BY110" s="95">
        <f t="shared" si="1545"/>
        <v>29</v>
      </c>
      <c r="BZ110" s="95">
        <f t="shared" si="1545"/>
        <v>29</v>
      </c>
      <c r="CA110" s="95">
        <f t="shared" si="1545"/>
        <v>29</v>
      </c>
      <c r="CB110" s="95">
        <f t="shared" si="1545"/>
        <v>29</v>
      </c>
      <c r="CC110" s="95">
        <f t="shared" si="1545"/>
        <v>29</v>
      </c>
      <c r="CD110" s="95">
        <f t="shared" si="1545"/>
        <v>29</v>
      </c>
      <c r="CE110" s="95">
        <f t="shared" si="1545"/>
        <v>29</v>
      </c>
      <c r="CF110" s="95">
        <f t="shared" si="1545"/>
        <v>29</v>
      </c>
      <c r="CG110" s="95">
        <f t="shared" si="1545"/>
        <v>29</v>
      </c>
      <c r="CH110" s="95">
        <f t="shared" si="1545"/>
        <v>29</v>
      </c>
      <c r="CI110" s="95">
        <f t="shared" si="1545"/>
        <v>29</v>
      </c>
      <c r="CJ110" s="95">
        <f t="shared" si="1545"/>
        <v>29</v>
      </c>
      <c r="CK110" s="95">
        <f t="shared" si="1545"/>
        <v>29</v>
      </c>
      <c r="CL110" s="95">
        <f t="shared" si="1545"/>
        <v>29</v>
      </c>
      <c r="CM110" s="95">
        <f t="shared" si="1545"/>
        <v>29</v>
      </c>
      <c r="CN110" s="95">
        <f t="shared" si="1545"/>
        <v>29</v>
      </c>
      <c r="CO110" s="95">
        <f t="shared" si="1545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46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47"/>
        <v>0</v>
      </c>
      <c r="DB110" s="62">
        <f t="shared" si="1548"/>
        <v>0</v>
      </c>
      <c r="DC110" s="62">
        <f t="shared" si="1549"/>
        <v>0</v>
      </c>
      <c r="DD110" s="102">
        <f t="shared" si="1550"/>
        <v>0</v>
      </c>
      <c r="DE110" s="31">
        <v>0</v>
      </c>
      <c r="DF110" s="31">
        <v>90</v>
      </c>
      <c r="DG110" s="31">
        <v>0</v>
      </c>
      <c r="DH110" s="48">
        <f t="shared" si="1551"/>
        <v>0</v>
      </c>
      <c r="DI110" s="62">
        <v>29</v>
      </c>
      <c r="DJ110" s="62">
        <v>1</v>
      </c>
      <c r="DK110" s="48">
        <f t="shared" si="1552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53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54"/>
        <v>0</v>
      </c>
      <c r="DV110" s="62">
        <v>0</v>
      </c>
      <c r="DW110" s="62">
        <v>0</v>
      </c>
      <c r="DX110" s="62">
        <f t="shared" si="1555"/>
        <v>0</v>
      </c>
      <c r="DY110" s="62">
        <f t="shared" si="1556"/>
        <v>0</v>
      </c>
      <c r="DZ110" s="48">
        <f t="shared" si="1557"/>
        <v>0</v>
      </c>
      <c r="EA110" s="62">
        <f t="shared" si="1558"/>
        <v>0</v>
      </c>
      <c r="EB110" s="62">
        <f t="shared" si="1559"/>
        <v>0</v>
      </c>
      <c r="EC110" s="48">
        <f t="shared" si="1560"/>
        <v>0</v>
      </c>
      <c r="ED110" s="62">
        <f t="shared" si="1561"/>
        <v>0</v>
      </c>
      <c r="EE110" s="62">
        <f t="shared" si="1562"/>
        <v>0</v>
      </c>
      <c r="EF110" s="48">
        <f t="shared" si="1563"/>
        <v>0</v>
      </c>
      <c r="EG110" s="62">
        <f t="shared" si="1564"/>
        <v>0</v>
      </c>
      <c r="EH110" s="62">
        <f t="shared" si="1565"/>
        <v>0</v>
      </c>
      <c r="EI110" s="48">
        <f t="shared" si="1566"/>
        <v>0</v>
      </c>
      <c r="EJ110" s="62">
        <f t="shared" si="1567"/>
        <v>0</v>
      </c>
      <c r="EK110" s="62">
        <f t="shared" si="1568"/>
        <v>0</v>
      </c>
      <c r="EL110" s="48">
        <f t="shared" si="1569"/>
        <v>0</v>
      </c>
      <c r="EM110" s="62">
        <f t="shared" si="1570"/>
        <v>0</v>
      </c>
      <c r="EN110" s="62">
        <f t="shared" si="1571"/>
        <v>0</v>
      </c>
      <c r="EO110" s="48">
        <f t="shared" si="1572"/>
        <v>0</v>
      </c>
      <c r="EP110" s="62">
        <f t="shared" si="1573"/>
        <v>0</v>
      </c>
      <c r="EQ110" s="62">
        <f t="shared" si="1573"/>
        <v>0</v>
      </c>
      <c r="ER110" s="62">
        <f t="shared" si="1573"/>
        <v>0</v>
      </c>
      <c r="ES110" s="62">
        <f t="shared" si="1574"/>
        <v>0</v>
      </c>
      <c r="ET110" s="62">
        <f t="shared" si="1574"/>
        <v>0</v>
      </c>
      <c r="EU110" s="62">
        <f t="shared" si="1574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75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 t="shared" si="1034"/>
        <v>1</v>
      </c>
      <c r="FS110" s="103" t="b">
        <f t="shared" si="1035"/>
        <v>1</v>
      </c>
      <c r="FT110" s="103" t="b">
        <f t="shared" si="1036"/>
        <v>1</v>
      </c>
      <c r="FU110" s="103" t="b">
        <f t="shared" si="1037"/>
        <v>0</v>
      </c>
      <c r="FV110" s="103" t="b">
        <f t="shared" si="1038"/>
        <v>1</v>
      </c>
      <c r="FW110" s="104" t="b">
        <f t="shared" si="1094"/>
        <v>0</v>
      </c>
      <c r="FX110" s="120" t="b">
        <f t="shared" si="1576"/>
        <v>1</v>
      </c>
      <c r="FY110" s="104" t="s">
        <v>214</v>
      </c>
      <c r="FZ110" s="104" t="b">
        <f t="shared" si="1577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78"/>
        <v>1</v>
      </c>
      <c r="GI110" s="8" t="b">
        <f t="shared" si="1579"/>
        <v>0</v>
      </c>
    </row>
    <row r="111" spans="1:193" s="31" customFormat="1" hidden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81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82">Q111*FH111</f>
        <v>0</v>
      </c>
      <c r="S111" s="94">
        <v>0</v>
      </c>
      <c r="T111" s="94">
        <v>0</v>
      </c>
      <c r="U111" s="94">
        <f t="shared" ref="U111:U112" si="1583">IFERROR(ROUNDUP(S111/$EX111,0)*$EY111,0)</f>
        <v>0</v>
      </c>
      <c r="V111" s="94">
        <f t="shared" ref="V111:V112" si="1584">SUM(Z111:AD111)</f>
        <v>0</v>
      </c>
      <c r="W111" s="94">
        <f t="shared" ref="W111:W112" si="1585">V111*FH111</f>
        <v>0</v>
      </c>
      <c r="X111" s="94">
        <f t="shared" ref="X111:X112" si="1586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87">AA111*FH111</f>
        <v>0</v>
      </c>
      <c r="AF111" s="95">
        <f t="shared" ref="AF111:AF112" si="1588">AB111*FH111</f>
        <v>0</v>
      </c>
      <c r="AG111" s="96">
        <v>0</v>
      </c>
      <c r="AH111" s="95">
        <f t="shared" ref="AH111:AH112" si="1589">V111-AG111</f>
        <v>0</v>
      </c>
      <c r="AI111" s="94">
        <f t="shared" ref="AI111:AI112" si="1590">IF(AH111&gt;0,AH111*FH111,0)</f>
        <v>0</v>
      </c>
      <c r="AJ111" s="94">
        <f t="shared" ref="AJ111:AJ112" si="1591">CU111</f>
        <v>0</v>
      </c>
      <c r="AK111" s="94">
        <f t="shared" ref="AK111:AK112" si="1592">SUM(CS111:CU111)</f>
        <v>28</v>
      </c>
      <c r="AL111" s="94">
        <f t="shared" ref="AL111:AL112" si="1593">SUM(CP111:CU111)</f>
        <v>40</v>
      </c>
      <c r="AM111" s="94">
        <f t="shared" ref="AM111:AM112" si="1594">SUM(BK111:BP111)</f>
        <v>201</v>
      </c>
      <c r="AN111" s="94">
        <f t="shared" ref="AN111:AN112" si="1595">IFERROR(S111/BQ111*30,"нет оборота")</f>
        <v>0</v>
      </c>
      <c r="AO111" s="94" t="str">
        <f t="shared" ref="AO111:AO112" si="1596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97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98">IF(AT111="Да",W111,0)</f>
        <v>0</v>
      </c>
      <c r="AX111" s="93"/>
      <c r="AY111" s="94">
        <f t="shared" ref="AY111:AY112" si="1599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600">BE111*FH111</f>
        <v>0</v>
      </c>
      <c r="BG111" s="29">
        <v>0</v>
      </c>
      <c r="BH111" s="29">
        <f t="shared" ref="BH111:BH112" si="1601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602">IF(COUNTIF(BK111:BP111,"&gt;0")=0,0,SUM(BK111:BP111)/COUNTIF(BK111:BP111,"&gt;0"))</f>
        <v>40.200000000000003</v>
      </c>
      <c r="BR111" s="95">
        <f t="shared" ref="BR111:BR112" si="1603">IF(OR(Q111=0,SUM(BK111:BP111)=0,V111&gt;Q111),V111-BK111,Q111-BK111)</f>
        <v>0</v>
      </c>
      <c r="BS111" s="95">
        <f t="shared" ref="BS111:BW112" si="1604">BR111-BL111</f>
        <v>-45</v>
      </c>
      <c r="BT111" s="95">
        <f t="shared" si="1604"/>
        <v>-78</v>
      </c>
      <c r="BU111" s="95">
        <f t="shared" si="1604"/>
        <v>-123</v>
      </c>
      <c r="BV111" s="95">
        <f t="shared" si="1604"/>
        <v>-156</v>
      </c>
      <c r="BW111" s="95">
        <f t="shared" si="1604"/>
        <v>-201</v>
      </c>
      <c r="BX111" s="95">
        <f t="shared" ref="BX111:CO112" si="1605">BW111-$BQ111</f>
        <v>-241.2</v>
      </c>
      <c r="BY111" s="95">
        <f t="shared" si="1605"/>
        <v>-281.39999999999998</v>
      </c>
      <c r="BZ111" s="95">
        <f t="shared" si="1605"/>
        <v>-321.59999999999997</v>
      </c>
      <c r="CA111" s="95">
        <f t="shared" si="1605"/>
        <v>-361.79999999999995</v>
      </c>
      <c r="CB111" s="95">
        <f t="shared" si="1605"/>
        <v>-401.99999999999994</v>
      </c>
      <c r="CC111" s="95">
        <f t="shared" si="1605"/>
        <v>-442.19999999999993</v>
      </c>
      <c r="CD111" s="95">
        <f t="shared" si="1605"/>
        <v>-482.39999999999992</v>
      </c>
      <c r="CE111" s="95">
        <f t="shared" si="1605"/>
        <v>-522.59999999999991</v>
      </c>
      <c r="CF111" s="95">
        <f t="shared" si="1605"/>
        <v>-562.79999999999995</v>
      </c>
      <c r="CG111" s="95">
        <f t="shared" si="1605"/>
        <v>-603</v>
      </c>
      <c r="CH111" s="95">
        <f t="shared" si="1605"/>
        <v>-643.20000000000005</v>
      </c>
      <c r="CI111" s="95">
        <f t="shared" si="1605"/>
        <v>-683.40000000000009</v>
      </c>
      <c r="CJ111" s="95">
        <f t="shared" si="1605"/>
        <v>-723.60000000000014</v>
      </c>
      <c r="CK111" s="95">
        <f t="shared" si="1605"/>
        <v>-763.80000000000018</v>
      </c>
      <c r="CL111" s="95">
        <f t="shared" si="1605"/>
        <v>-804.00000000000023</v>
      </c>
      <c r="CM111" s="95">
        <f t="shared" si="1605"/>
        <v>-844.20000000000027</v>
      </c>
      <c r="CN111" s="95">
        <f t="shared" si="1605"/>
        <v>-884.40000000000032</v>
      </c>
      <c r="CO111" s="95">
        <f t="shared" si="1605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606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607">IFERROR(CZ111/CY111,0)</f>
        <v>0</v>
      </c>
      <c r="DB111" s="62">
        <f t="shared" ref="DB111:DB112" si="1608">CY111*FH111</f>
        <v>0</v>
      </c>
      <c r="DC111" s="62">
        <f t="shared" ref="DC111:DC112" si="1609">CZ111*FH111</f>
        <v>0</v>
      </c>
      <c r="DD111" s="102">
        <f t="shared" ref="DD111:DD112" si="1610">IFERROR(DC111/DB111,0)</f>
        <v>0</v>
      </c>
      <c r="DE111" s="31">
        <v>0</v>
      </c>
      <c r="DG111" s="31">
        <v>0</v>
      </c>
      <c r="DH111" s="48">
        <f t="shared" ref="DH111:DH112" si="1611">IFERROR(ROUNDUP(DG111/$EX111,0)*$EY111,0)</f>
        <v>0</v>
      </c>
      <c r="DI111" s="62">
        <v>12</v>
      </c>
      <c r="DJ111" s="62">
        <v>396921.11100000003</v>
      </c>
      <c r="DK111" s="48">
        <f t="shared" ref="DK111:DK112" si="1612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13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14">IFERROR(ROUNDUP(DS111/$EX111,0)*$EY111,0)</f>
        <v>0</v>
      </c>
      <c r="DV111" s="62">
        <v>0</v>
      </c>
      <c r="DW111" s="62">
        <v>0</v>
      </c>
      <c r="DX111" s="62">
        <f t="shared" ref="DX111:DX112" si="1615">$DF111*BK111/30</f>
        <v>0</v>
      </c>
      <c r="DY111" s="62">
        <f t="shared" ref="DY111:DY112" si="1616">DX111*$FH111</f>
        <v>0</v>
      </c>
      <c r="DZ111" s="48">
        <f t="shared" ref="DZ111:DZ112" si="1617">IFERROR(ROUNDUP(DX111/$EX111,0)*$EY111,0)</f>
        <v>0</v>
      </c>
      <c r="EA111" s="62">
        <f t="shared" ref="EA111:EA112" si="1618">$DF111*BL111/30</f>
        <v>0</v>
      </c>
      <c r="EB111" s="62">
        <f t="shared" ref="EB111:EB112" si="1619">EA111*$FH111</f>
        <v>0</v>
      </c>
      <c r="EC111" s="48">
        <f t="shared" ref="EC111:EC112" si="1620">IFERROR(ROUNDUP(EA111/$EX111,0)*$EY111,0)</f>
        <v>0</v>
      </c>
      <c r="ED111" s="62">
        <f t="shared" ref="ED111:ED112" si="1621">$DF111*BM111/30</f>
        <v>0</v>
      </c>
      <c r="EE111" s="62">
        <f t="shared" ref="EE111:EE112" si="1622">ED111*$FH111</f>
        <v>0</v>
      </c>
      <c r="EF111" s="48">
        <f t="shared" ref="EF111:EF112" si="1623">IFERROR(ROUNDUP(ED111/$EX111,0)*$EY111,0)</f>
        <v>0</v>
      </c>
      <c r="EG111" s="62">
        <f t="shared" ref="EG111:EG112" si="1624">$DF111*BN111/30</f>
        <v>0</v>
      </c>
      <c r="EH111" s="62">
        <f t="shared" ref="EH111:EH112" si="1625">EG111*$FH111</f>
        <v>0</v>
      </c>
      <c r="EI111" s="48">
        <f t="shared" ref="EI111:EI112" si="1626">IFERROR(ROUNDUP(EG111/$EX111,0)*$EY111,0)</f>
        <v>0</v>
      </c>
      <c r="EJ111" s="62">
        <f t="shared" ref="EJ111:EJ112" si="1627">$DF111*BO111/30</f>
        <v>0</v>
      </c>
      <c r="EK111" s="62">
        <f t="shared" ref="EK111:EK112" si="1628">EJ111*$FH111</f>
        <v>0</v>
      </c>
      <c r="EL111" s="48">
        <f t="shared" ref="EL111:EL112" si="1629">IFERROR(ROUNDUP(EJ111/$EX111,0)*$EY111,0)</f>
        <v>0</v>
      </c>
      <c r="EM111" s="62">
        <f t="shared" ref="EM111:EM112" si="1630">$DF111*BP111/30</f>
        <v>0</v>
      </c>
      <c r="EN111" s="62">
        <f t="shared" ref="EN111:EN112" si="1631">EM111*$FH111</f>
        <v>0</v>
      </c>
      <c r="EO111" s="48">
        <f t="shared" ref="EO111:EO112" si="1632">IFERROR(ROUNDUP(EM111/$EX111,0)*$EY111,0)</f>
        <v>0</v>
      </c>
      <c r="EP111" s="62">
        <f t="shared" ref="EP111:EU112" si="1633">BK111*$FH111</f>
        <v>0</v>
      </c>
      <c r="EQ111" s="62">
        <f t="shared" si="1633"/>
        <v>1453265.0999999999</v>
      </c>
      <c r="ER111" s="62">
        <f t="shared" si="1633"/>
        <v>1065727.74</v>
      </c>
      <c r="ES111" s="62">
        <f t="shared" si="1633"/>
        <v>1453265.0999999999</v>
      </c>
      <c r="ET111" s="62">
        <f t="shared" si="1633"/>
        <v>1065727.74</v>
      </c>
      <c r="EU111" s="62">
        <f t="shared" si="1633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34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 t="shared" si="1034"/>
        <v>1</v>
      </c>
      <c r="FS111" s="104" t="b">
        <f t="shared" si="1035"/>
        <v>0</v>
      </c>
      <c r="FT111" s="104" t="b">
        <f t="shared" si="1036"/>
        <v>0</v>
      </c>
      <c r="FU111" s="104" t="b">
        <f t="shared" si="1037"/>
        <v>0</v>
      </c>
      <c r="FV111" s="104" t="b">
        <f t="shared" si="1038"/>
        <v>1</v>
      </c>
      <c r="FW111" s="104" t="b">
        <f t="shared" si="1094"/>
        <v>0</v>
      </c>
      <c r="FX111" s="104" t="b">
        <f t="shared" ref="FX111:FX112" si="1635">EXACT(FQ111,BI111)</f>
        <v>1</v>
      </c>
      <c r="FY111" s="104" t="s">
        <v>214</v>
      </c>
      <c r="FZ111" s="104" t="b">
        <f t="shared" ref="FZ111:FZ112" si="1636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37">EXACT(GD111,C111)</f>
        <v>1</v>
      </c>
      <c r="GI111" s="108" t="b">
        <f t="shared" ref="GI111:GI112" si="1638">EXACT(GG111,G111)</f>
        <v>0</v>
      </c>
    </row>
    <row r="112" spans="1:193" s="31" customFormat="1" ht="30" hidden="1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81"/>
        <v>нет минмакс</v>
      </c>
      <c r="Q112" s="95">
        <v>72</v>
      </c>
      <c r="R112" s="95">
        <f t="shared" si="1582"/>
        <v>10031.76</v>
      </c>
      <c r="S112" s="112">
        <v>100</v>
      </c>
      <c r="T112" s="112">
        <v>13933.000000000002</v>
      </c>
      <c r="U112" s="112">
        <f t="shared" si="1583"/>
        <v>0</v>
      </c>
      <c r="V112" s="113">
        <f t="shared" si="1584"/>
        <v>72</v>
      </c>
      <c r="W112" s="113">
        <f t="shared" si="1585"/>
        <v>10031.76</v>
      </c>
      <c r="X112" s="113">
        <f t="shared" si="1586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87"/>
        <v>0</v>
      </c>
      <c r="AF112" s="95">
        <f t="shared" si="1588"/>
        <v>0</v>
      </c>
      <c r="AG112" s="114">
        <v>0</v>
      </c>
      <c r="AH112" s="95">
        <f t="shared" si="1589"/>
        <v>72</v>
      </c>
      <c r="AI112" s="115">
        <f t="shared" si="1590"/>
        <v>10031.76</v>
      </c>
      <c r="AJ112" s="95">
        <f t="shared" si="1591"/>
        <v>0</v>
      </c>
      <c r="AK112" s="95">
        <f t="shared" si="1592"/>
        <v>28</v>
      </c>
      <c r="AL112" s="95">
        <f t="shared" si="1593"/>
        <v>28</v>
      </c>
      <c r="AM112" s="95">
        <f t="shared" si="1594"/>
        <v>201</v>
      </c>
      <c r="AN112" s="95">
        <f t="shared" si="1595"/>
        <v>74.626865671641781</v>
      </c>
      <c r="AO112" s="95" t="str">
        <f t="shared" si="1596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97"/>
        <v>0-03</v>
      </c>
      <c r="AW112" s="117">
        <f t="shared" si="1598"/>
        <v>0</v>
      </c>
      <c r="AX112" s="118"/>
      <c r="AY112" s="25">
        <f t="shared" si="1599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600"/>
        <v>0</v>
      </c>
      <c r="BG112" s="29">
        <v>0</v>
      </c>
      <c r="BH112" s="29">
        <f t="shared" si="1601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602"/>
        <v>40.200000000000003</v>
      </c>
      <c r="BR112" s="95">
        <f t="shared" si="1603"/>
        <v>72</v>
      </c>
      <c r="BS112" s="95">
        <f t="shared" si="1604"/>
        <v>27</v>
      </c>
      <c r="BT112" s="95">
        <f t="shared" si="1604"/>
        <v>-6</v>
      </c>
      <c r="BU112" s="95">
        <f t="shared" si="1604"/>
        <v>-51</v>
      </c>
      <c r="BV112" s="95">
        <f t="shared" si="1604"/>
        <v>-84</v>
      </c>
      <c r="BW112" s="95">
        <f t="shared" si="1604"/>
        <v>-129</v>
      </c>
      <c r="BX112" s="95">
        <f t="shared" si="1605"/>
        <v>-169.2</v>
      </c>
      <c r="BY112" s="95">
        <f t="shared" si="1605"/>
        <v>-209.39999999999998</v>
      </c>
      <c r="BZ112" s="95">
        <f t="shared" si="1605"/>
        <v>-249.59999999999997</v>
      </c>
      <c r="CA112" s="95">
        <f t="shared" si="1605"/>
        <v>-289.79999999999995</v>
      </c>
      <c r="CB112" s="95">
        <f t="shared" si="1605"/>
        <v>-329.99999999999994</v>
      </c>
      <c r="CC112" s="95">
        <f t="shared" si="1605"/>
        <v>-370.19999999999993</v>
      </c>
      <c r="CD112" s="95">
        <f t="shared" si="1605"/>
        <v>-410.39999999999992</v>
      </c>
      <c r="CE112" s="95">
        <f t="shared" si="1605"/>
        <v>-450.59999999999991</v>
      </c>
      <c r="CF112" s="95">
        <f t="shared" si="1605"/>
        <v>-490.7999999999999</v>
      </c>
      <c r="CG112" s="95">
        <f t="shared" si="1605"/>
        <v>-530.99999999999989</v>
      </c>
      <c r="CH112" s="95">
        <f t="shared" si="1605"/>
        <v>-571.19999999999993</v>
      </c>
      <c r="CI112" s="95">
        <f t="shared" si="1605"/>
        <v>-611.4</v>
      </c>
      <c r="CJ112" s="95">
        <f t="shared" si="1605"/>
        <v>-651.6</v>
      </c>
      <c r="CK112" s="95">
        <f t="shared" si="1605"/>
        <v>-691.80000000000007</v>
      </c>
      <c r="CL112" s="95">
        <f t="shared" si="1605"/>
        <v>-732.00000000000011</v>
      </c>
      <c r="CM112" s="95">
        <f t="shared" si="1605"/>
        <v>-772.20000000000016</v>
      </c>
      <c r="CN112" s="95">
        <f t="shared" si="1605"/>
        <v>-812.4000000000002</v>
      </c>
      <c r="CO112" s="95">
        <f t="shared" si="1605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606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607"/>
        <v>0</v>
      </c>
      <c r="DB112" s="62">
        <f t="shared" si="1608"/>
        <v>0</v>
      </c>
      <c r="DC112" s="62">
        <f t="shared" si="1609"/>
        <v>0</v>
      </c>
      <c r="DD112" s="102">
        <f t="shared" si="1610"/>
        <v>0</v>
      </c>
      <c r="DE112" s="31">
        <v>0</v>
      </c>
      <c r="DF112" s="31">
        <v>90</v>
      </c>
      <c r="DG112" s="31">
        <v>0</v>
      </c>
      <c r="DH112" s="48">
        <f t="shared" si="1611"/>
        <v>0</v>
      </c>
      <c r="DI112" s="62">
        <v>100</v>
      </c>
      <c r="DJ112" s="62">
        <v>13933.23</v>
      </c>
      <c r="DK112" s="48">
        <f t="shared" si="1612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13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14"/>
        <v>0</v>
      </c>
      <c r="DV112" s="62">
        <v>0</v>
      </c>
      <c r="DW112" s="62">
        <v>0</v>
      </c>
      <c r="DX112" s="62">
        <f t="shared" si="1615"/>
        <v>0</v>
      </c>
      <c r="DY112" s="62">
        <f t="shared" si="1616"/>
        <v>0</v>
      </c>
      <c r="DZ112" s="48">
        <f t="shared" si="1617"/>
        <v>0</v>
      </c>
      <c r="EA112" s="62">
        <f t="shared" si="1618"/>
        <v>135</v>
      </c>
      <c r="EB112" s="62">
        <f t="shared" si="1619"/>
        <v>18809.550000000003</v>
      </c>
      <c r="EC112" s="48">
        <f t="shared" si="1620"/>
        <v>0</v>
      </c>
      <c r="ED112" s="62">
        <f t="shared" si="1621"/>
        <v>99</v>
      </c>
      <c r="EE112" s="62">
        <f t="shared" si="1622"/>
        <v>13793.670000000002</v>
      </c>
      <c r="EF112" s="48">
        <f t="shared" si="1623"/>
        <v>0</v>
      </c>
      <c r="EG112" s="62">
        <f t="shared" si="1624"/>
        <v>135</v>
      </c>
      <c r="EH112" s="62">
        <f t="shared" si="1625"/>
        <v>18809.550000000003</v>
      </c>
      <c r="EI112" s="48">
        <f t="shared" si="1626"/>
        <v>0</v>
      </c>
      <c r="EJ112" s="62">
        <f t="shared" si="1627"/>
        <v>99</v>
      </c>
      <c r="EK112" s="62">
        <f t="shared" si="1628"/>
        <v>13793.670000000002</v>
      </c>
      <c r="EL112" s="48">
        <f t="shared" si="1629"/>
        <v>0</v>
      </c>
      <c r="EM112" s="62">
        <f t="shared" si="1630"/>
        <v>135</v>
      </c>
      <c r="EN112" s="62">
        <f t="shared" si="1631"/>
        <v>18809.550000000003</v>
      </c>
      <c r="EO112" s="48">
        <f t="shared" si="1632"/>
        <v>0</v>
      </c>
      <c r="EP112" s="62">
        <f t="shared" si="1633"/>
        <v>0</v>
      </c>
      <c r="EQ112" s="62">
        <f t="shared" si="1633"/>
        <v>6269.85</v>
      </c>
      <c r="ER112" s="62">
        <f t="shared" si="1633"/>
        <v>4597.8900000000003</v>
      </c>
      <c r="ES112" s="62">
        <f t="shared" si="1633"/>
        <v>6269.85</v>
      </c>
      <c r="ET112" s="62">
        <f t="shared" si="1633"/>
        <v>4597.8900000000003</v>
      </c>
      <c r="EU112" s="62">
        <f t="shared" si="1633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34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 t="shared" si="1034"/>
        <v>1</v>
      </c>
      <c r="FS112" s="103" t="b">
        <f t="shared" si="1035"/>
        <v>1</v>
      </c>
      <c r="FT112" s="103" t="b">
        <f t="shared" si="1036"/>
        <v>0</v>
      </c>
      <c r="FU112" s="103" t="b">
        <f t="shared" si="1037"/>
        <v>0</v>
      </c>
      <c r="FV112" s="103" t="b">
        <f t="shared" si="1038"/>
        <v>1</v>
      </c>
      <c r="FW112" s="104" t="b">
        <f t="shared" si="1094"/>
        <v>0</v>
      </c>
      <c r="FX112" s="120" t="b">
        <f t="shared" si="1635"/>
        <v>1</v>
      </c>
      <c r="FY112" s="104" t="s">
        <v>214</v>
      </c>
      <c r="FZ112" s="104" t="b">
        <f t="shared" si="1636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37"/>
        <v>1</v>
      </c>
      <c r="GI112" s="8" t="b">
        <f t="shared" si="1638"/>
        <v>0</v>
      </c>
    </row>
    <row r="113" spans="1:191" s="31" customFormat="1" hidden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39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40">Q113*FH113</f>
        <v>0</v>
      </c>
      <c r="S113" s="94">
        <v>0</v>
      </c>
      <c r="T113" s="94">
        <v>0</v>
      </c>
      <c r="U113" s="94">
        <f t="shared" ref="U113:U116" si="1641">IFERROR(ROUNDUP(S113/$EX113,0)*$EY113,0)</f>
        <v>0</v>
      </c>
      <c r="V113" s="94">
        <f t="shared" ref="V113:V116" si="1642">SUM(Z113:AD113)</f>
        <v>0</v>
      </c>
      <c r="W113" s="94">
        <f t="shared" ref="W113:W116" si="1643">V113*FH113</f>
        <v>0</v>
      </c>
      <c r="X113" s="94">
        <f t="shared" ref="X113:X116" si="1644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45">AA113*FH113</f>
        <v>0</v>
      </c>
      <c r="AF113" s="95">
        <f t="shared" ref="AF113:AF116" si="1646">AB113*FH113</f>
        <v>0</v>
      </c>
      <c r="AG113" s="96">
        <v>17000</v>
      </c>
      <c r="AH113" s="95">
        <f t="shared" ref="AH113:AH116" si="1647">V113-AG113</f>
        <v>-17000</v>
      </c>
      <c r="AI113" s="94">
        <f t="shared" ref="AI113:AI116" si="1648">IF(AH113&gt;0,AH113*FH113,0)</f>
        <v>0</v>
      </c>
      <c r="AJ113" s="94">
        <f t="shared" ref="AJ113:AJ116" si="1649">CU113</f>
        <v>5004</v>
      </c>
      <c r="AK113" s="94">
        <f t="shared" ref="AK113:AK116" si="1650">SUM(CS113:CU113)</f>
        <v>18516</v>
      </c>
      <c r="AL113" s="94">
        <f t="shared" ref="AL113:AL116" si="1651">SUM(CP113:CU113)</f>
        <v>18516</v>
      </c>
      <c r="AM113" s="94">
        <f t="shared" ref="AM113:AM116" si="1652">SUM(BK113:BP113)</f>
        <v>30000</v>
      </c>
      <c r="AN113" s="94">
        <f t="shared" ref="AN113:AN116" si="1653">IFERROR(S113/BQ113*30,"нет оборота")</f>
        <v>0</v>
      </c>
      <c r="AO113" s="94" t="str">
        <f t="shared" ref="AO113:AO116" si="1654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55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56">IF(AT113="Да",W113,0)</f>
        <v>0</v>
      </c>
      <c r="AX113" s="93"/>
      <c r="AY113" s="94">
        <f t="shared" ref="AY113:AY116" si="1657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58">BE113*FH113</f>
        <v>0</v>
      </c>
      <c r="BG113" s="29">
        <v>0</v>
      </c>
      <c r="BH113" s="29">
        <f t="shared" ref="BH113:BH116" si="1659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60">IF(COUNTIF(BK113:BP113,"&gt;0")=0,0,SUM(BK113:BP113)/COUNTIF(BK113:BP113,"&gt;0"))</f>
        <v>5000</v>
      </c>
      <c r="BR113" s="95">
        <f t="shared" ref="BR113:BR116" si="1661">IF(OR(Q113=0,SUM(BK113:BP113)=0,V113&gt;Q113),V113-BK113,Q113-BK113)</f>
        <v>-5000</v>
      </c>
      <c r="BS113" s="95">
        <f t="shared" ref="BS113:BW116" si="1662">BR113-BL113</f>
        <v>-10000</v>
      </c>
      <c r="BT113" s="95">
        <f t="shared" si="1662"/>
        <v>-15000</v>
      </c>
      <c r="BU113" s="95">
        <f t="shared" si="1662"/>
        <v>-20000</v>
      </c>
      <c r="BV113" s="95">
        <f t="shared" si="1662"/>
        <v>-25000</v>
      </c>
      <c r="BW113" s="95">
        <f t="shared" si="1662"/>
        <v>-30000</v>
      </c>
      <c r="BX113" s="95">
        <f t="shared" ref="BX113:CO116" si="1663">BW113-$BQ113</f>
        <v>-35000</v>
      </c>
      <c r="BY113" s="95">
        <f t="shared" si="1663"/>
        <v>-40000</v>
      </c>
      <c r="BZ113" s="95">
        <f t="shared" si="1663"/>
        <v>-45000</v>
      </c>
      <c r="CA113" s="95">
        <f t="shared" si="1663"/>
        <v>-50000</v>
      </c>
      <c r="CB113" s="95">
        <f t="shared" si="1663"/>
        <v>-55000</v>
      </c>
      <c r="CC113" s="95">
        <f t="shared" si="1663"/>
        <v>-60000</v>
      </c>
      <c r="CD113" s="95">
        <f t="shared" si="1663"/>
        <v>-65000</v>
      </c>
      <c r="CE113" s="95">
        <f t="shared" si="1663"/>
        <v>-70000</v>
      </c>
      <c r="CF113" s="95">
        <f t="shared" si="1663"/>
        <v>-75000</v>
      </c>
      <c r="CG113" s="95">
        <f t="shared" si="1663"/>
        <v>-80000</v>
      </c>
      <c r="CH113" s="95">
        <f t="shared" si="1663"/>
        <v>-85000</v>
      </c>
      <c r="CI113" s="95">
        <f t="shared" si="1663"/>
        <v>-90000</v>
      </c>
      <c r="CJ113" s="95">
        <f t="shared" si="1663"/>
        <v>-95000</v>
      </c>
      <c r="CK113" s="95">
        <f t="shared" si="1663"/>
        <v>-100000</v>
      </c>
      <c r="CL113" s="95">
        <f t="shared" si="1663"/>
        <v>-105000</v>
      </c>
      <c r="CM113" s="95">
        <f t="shared" si="1663"/>
        <v>-110000</v>
      </c>
      <c r="CN113" s="95">
        <f t="shared" si="1663"/>
        <v>-115000</v>
      </c>
      <c r="CO113" s="95">
        <f t="shared" si="1663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64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65">IFERROR(CZ113/CY113,0)</f>
        <v>0</v>
      </c>
      <c r="DB113" s="62">
        <f t="shared" ref="DB113:DB116" si="1666">CY113*FH113</f>
        <v>0</v>
      </c>
      <c r="DC113" s="62">
        <f t="shared" ref="DC113:DC116" si="1667">CZ113*FH113</f>
        <v>1028508.84</v>
      </c>
      <c r="DD113" s="102">
        <f t="shared" ref="DD113:DD116" si="1668">IFERROR(DC113/DB113,0)</f>
        <v>0</v>
      </c>
      <c r="DE113" s="31">
        <v>0</v>
      </c>
      <c r="DG113" s="31">
        <v>0</v>
      </c>
      <c r="DH113" s="48">
        <f t="shared" ref="DH113:DH116" si="1669">IFERROR(ROUNDUP(DG113/$EX113,0)*$EY113,0)</f>
        <v>0</v>
      </c>
      <c r="DI113" s="62">
        <v>0</v>
      </c>
      <c r="DJ113" s="62">
        <v>0</v>
      </c>
      <c r="DK113" s="48">
        <f t="shared" ref="DK113:DK116" si="1670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71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72">IFERROR(ROUNDUP(DS113/$EX113,0)*$EY113,0)</f>
        <v>1</v>
      </c>
      <c r="DV113" s="62">
        <v>5508</v>
      </c>
      <c r="DW113" s="62">
        <v>1186804.8899999999</v>
      </c>
      <c r="DX113" s="62">
        <f t="shared" ref="DX113:DX116" si="1673">$DF113*BK113/30</f>
        <v>0</v>
      </c>
      <c r="DY113" s="62">
        <f t="shared" ref="DY113:DY116" si="1674">DX113*$FH113</f>
        <v>0</v>
      </c>
      <c r="DZ113" s="48">
        <f t="shared" ref="DZ113:DZ116" si="1675">IFERROR(ROUNDUP(DX113/$EX113,0)*$EY113,0)</f>
        <v>0</v>
      </c>
      <c r="EA113" s="62">
        <f t="shared" ref="EA113:EA116" si="1676">$DF113*BL113/30</f>
        <v>0</v>
      </c>
      <c r="EB113" s="62">
        <f t="shared" ref="EB113:EB116" si="1677">EA113*$FH113</f>
        <v>0</v>
      </c>
      <c r="EC113" s="48">
        <f t="shared" ref="EC113:EC116" si="1678">IFERROR(ROUNDUP(EA113/$EX113,0)*$EY113,0)</f>
        <v>0</v>
      </c>
      <c r="ED113" s="62">
        <f t="shared" ref="ED113:ED116" si="1679">$DF113*BM113/30</f>
        <v>0</v>
      </c>
      <c r="EE113" s="62">
        <f t="shared" ref="EE113:EE116" si="1680">ED113*$FH113</f>
        <v>0</v>
      </c>
      <c r="EF113" s="48">
        <f t="shared" ref="EF113:EF116" si="1681">IFERROR(ROUNDUP(ED113/$EX113,0)*$EY113,0)</f>
        <v>0</v>
      </c>
      <c r="EG113" s="62">
        <f t="shared" ref="EG113:EG116" si="1682">$DF113*BN113/30</f>
        <v>0</v>
      </c>
      <c r="EH113" s="62">
        <f t="shared" ref="EH113:EH116" si="1683">EG113*$FH113</f>
        <v>0</v>
      </c>
      <c r="EI113" s="48">
        <f t="shared" ref="EI113:EI116" si="1684">IFERROR(ROUNDUP(EG113/$EX113,0)*$EY113,0)</f>
        <v>0</v>
      </c>
      <c r="EJ113" s="62">
        <f t="shared" ref="EJ113:EJ116" si="1685">$DF113*BO113/30</f>
        <v>0</v>
      </c>
      <c r="EK113" s="62">
        <f t="shared" ref="EK113:EK116" si="1686">EJ113*$FH113</f>
        <v>0</v>
      </c>
      <c r="EL113" s="48">
        <f t="shared" ref="EL113:EL116" si="1687">IFERROR(ROUNDUP(EJ113/$EX113,0)*$EY113,0)</f>
        <v>0</v>
      </c>
      <c r="EM113" s="62">
        <f t="shared" ref="EM113:EM116" si="1688">$DF113*BP113/30</f>
        <v>0</v>
      </c>
      <c r="EN113" s="62">
        <f t="shared" ref="EN113:EN116" si="1689">EM113*$FH113</f>
        <v>0</v>
      </c>
      <c r="EO113" s="48">
        <f t="shared" ref="EO113:EO116" si="1690">IFERROR(ROUNDUP(EM113/$EX113,0)*$EY113,0)</f>
        <v>0</v>
      </c>
      <c r="EP113" s="62">
        <f t="shared" ref="EP113:EU114" si="1691">BK113*$FH113</f>
        <v>933650</v>
      </c>
      <c r="EQ113" s="62">
        <f t="shared" si="1691"/>
        <v>933650</v>
      </c>
      <c r="ER113" s="62">
        <f t="shared" si="1691"/>
        <v>933650</v>
      </c>
      <c r="ES113" s="62">
        <f t="shared" si="1691"/>
        <v>933650</v>
      </c>
      <c r="ET113" s="62">
        <f t="shared" si="1691"/>
        <v>933650</v>
      </c>
      <c r="EU113" s="62">
        <f t="shared" si="1691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92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 t="shared" si="1034"/>
        <v>1</v>
      </c>
      <c r="FS113" s="104" t="b">
        <f t="shared" si="1035"/>
        <v>1</v>
      </c>
      <c r="FT113" s="104" t="b">
        <f t="shared" si="1036"/>
        <v>1</v>
      </c>
      <c r="FU113" s="104" t="b">
        <f t="shared" si="1037"/>
        <v>0</v>
      </c>
      <c r="FV113" s="104" t="b">
        <f t="shared" si="1038"/>
        <v>1</v>
      </c>
      <c r="FW113" s="104" t="b">
        <f t="shared" si="1094"/>
        <v>0</v>
      </c>
      <c r="FX113" s="104" t="b">
        <f t="shared" ref="FX113:FX116" si="1693">EXACT(FQ113,BI113)</f>
        <v>1</v>
      </c>
      <c r="FY113" s="104" t="s">
        <v>214</v>
      </c>
      <c r="FZ113" s="104" t="b">
        <f t="shared" ref="FZ113:FZ116" si="1694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95">EXACT(GD113,C113)</f>
        <v>1</v>
      </c>
      <c r="GI113" s="108" t="b">
        <f t="shared" ref="GI113:GI116" si="1696">EXACT(GG113,G113)</f>
        <v>0</v>
      </c>
    </row>
    <row r="114" spans="1:191" s="31" customFormat="1" hidden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39"/>
        <v>нет минмакс</v>
      </c>
      <c r="Q114" s="95">
        <v>19349</v>
      </c>
      <c r="R114" s="95">
        <f t="shared" si="1640"/>
        <v>60949.35</v>
      </c>
      <c r="S114" s="112">
        <v>9463</v>
      </c>
      <c r="T114" s="112">
        <v>28389</v>
      </c>
      <c r="U114" s="112">
        <f t="shared" si="1641"/>
        <v>0</v>
      </c>
      <c r="V114" s="113">
        <f t="shared" si="1642"/>
        <v>2286</v>
      </c>
      <c r="W114" s="113">
        <f t="shared" si="1643"/>
        <v>7200.9</v>
      </c>
      <c r="X114" s="113">
        <f t="shared" si="1644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45"/>
        <v>6482.7</v>
      </c>
      <c r="AF114" s="95">
        <f t="shared" si="1646"/>
        <v>0</v>
      </c>
      <c r="AG114" s="114">
        <v>0</v>
      </c>
      <c r="AH114" s="95">
        <f t="shared" si="1647"/>
        <v>2286</v>
      </c>
      <c r="AI114" s="115">
        <f t="shared" si="1648"/>
        <v>7200.9</v>
      </c>
      <c r="AJ114" s="95">
        <f t="shared" si="1649"/>
        <v>5031</v>
      </c>
      <c r="AK114" s="95">
        <f t="shared" si="1650"/>
        <v>18651</v>
      </c>
      <c r="AL114" s="95">
        <f t="shared" si="1651"/>
        <v>33651</v>
      </c>
      <c r="AM114" s="95">
        <f t="shared" si="1652"/>
        <v>30000</v>
      </c>
      <c r="AN114" s="95">
        <f t="shared" si="1653"/>
        <v>56.777999999999999</v>
      </c>
      <c r="AO114" s="95" t="str">
        <f t="shared" si="1654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55"/>
        <v>0-04</v>
      </c>
      <c r="AW114" s="117">
        <f t="shared" si="1656"/>
        <v>0</v>
      </c>
      <c r="AX114" s="118"/>
      <c r="AY114" s="25">
        <f t="shared" si="1657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58"/>
        <v>0</v>
      </c>
      <c r="BG114" s="29">
        <v>0</v>
      </c>
      <c r="BH114" s="29">
        <f t="shared" si="1659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60"/>
        <v>5000</v>
      </c>
      <c r="BR114" s="95">
        <f t="shared" si="1661"/>
        <v>14349</v>
      </c>
      <c r="BS114" s="95">
        <f t="shared" si="1662"/>
        <v>9349</v>
      </c>
      <c r="BT114" s="95">
        <f t="shared" si="1662"/>
        <v>4349</v>
      </c>
      <c r="BU114" s="95">
        <f t="shared" si="1662"/>
        <v>-651</v>
      </c>
      <c r="BV114" s="95">
        <f t="shared" si="1662"/>
        <v>-5651</v>
      </c>
      <c r="BW114" s="95">
        <f t="shared" si="1662"/>
        <v>-10651</v>
      </c>
      <c r="BX114" s="95">
        <f t="shared" si="1663"/>
        <v>-15651</v>
      </c>
      <c r="BY114" s="95">
        <f t="shared" si="1663"/>
        <v>-20651</v>
      </c>
      <c r="BZ114" s="95">
        <f t="shared" si="1663"/>
        <v>-25651</v>
      </c>
      <c r="CA114" s="95">
        <f t="shared" si="1663"/>
        <v>-30651</v>
      </c>
      <c r="CB114" s="95">
        <f t="shared" si="1663"/>
        <v>-35651</v>
      </c>
      <c r="CC114" s="95">
        <f t="shared" si="1663"/>
        <v>-40651</v>
      </c>
      <c r="CD114" s="95">
        <f t="shared" si="1663"/>
        <v>-45651</v>
      </c>
      <c r="CE114" s="95">
        <f t="shared" si="1663"/>
        <v>-50651</v>
      </c>
      <c r="CF114" s="95">
        <f t="shared" si="1663"/>
        <v>-55651</v>
      </c>
      <c r="CG114" s="95">
        <f t="shared" si="1663"/>
        <v>-60651</v>
      </c>
      <c r="CH114" s="95">
        <f t="shared" si="1663"/>
        <v>-65651</v>
      </c>
      <c r="CI114" s="95">
        <f t="shared" si="1663"/>
        <v>-70651</v>
      </c>
      <c r="CJ114" s="95">
        <f t="shared" si="1663"/>
        <v>-75651</v>
      </c>
      <c r="CK114" s="95">
        <f t="shared" si="1663"/>
        <v>-80651</v>
      </c>
      <c r="CL114" s="95">
        <f t="shared" si="1663"/>
        <v>-85651</v>
      </c>
      <c r="CM114" s="95">
        <f t="shared" si="1663"/>
        <v>-90651</v>
      </c>
      <c r="CN114" s="95">
        <f t="shared" si="1663"/>
        <v>-95651</v>
      </c>
      <c r="CO114" s="95">
        <f t="shared" si="1663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64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65"/>
        <v>0</v>
      </c>
      <c r="DB114" s="62">
        <f t="shared" si="1666"/>
        <v>0</v>
      </c>
      <c r="DC114" s="62">
        <f t="shared" si="1667"/>
        <v>0</v>
      </c>
      <c r="DD114" s="102">
        <f t="shared" si="1668"/>
        <v>0</v>
      </c>
      <c r="DE114" s="31">
        <v>0</v>
      </c>
      <c r="DF114" s="31">
        <v>90</v>
      </c>
      <c r="DG114" s="31">
        <v>0</v>
      </c>
      <c r="DH114" s="48">
        <f t="shared" si="1669"/>
        <v>0</v>
      </c>
      <c r="DI114" s="62">
        <v>967.74199999999996</v>
      </c>
      <c r="DJ114" s="62">
        <v>3021.78</v>
      </c>
      <c r="DK114" s="48">
        <f t="shared" si="1670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71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72"/>
        <v>0</v>
      </c>
      <c r="DV114" s="62">
        <v>5537</v>
      </c>
      <c r="DW114" s="62">
        <v>16586.908513000002</v>
      </c>
      <c r="DX114" s="62">
        <f t="shared" si="1673"/>
        <v>15000</v>
      </c>
      <c r="DY114" s="62">
        <f t="shared" si="1674"/>
        <v>47250</v>
      </c>
      <c r="DZ114" s="48">
        <f t="shared" si="1675"/>
        <v>0</v>
      </c>
      <c r="EA114" s="62">
        <f t="shared" si="1676"/>
        <v>15000</v>
      </c>
      <c r="EB114" s="62">
        <f t="shared" si="1677"/>
        <v>47250</v>
      </c>
      <c r="EC114" s="48">
        <f t="shared" si="1678"/>
        <v>0</v>
      </c>
      <c r="ED114" s="62">
        <f t="shared" si="1679"/>
        <v>15000</v>
      </c>
      <c r="EE114" s="62">
        <f t="shared" si="1680"/>
        <v>47250</v>
      </c>
      <c r="EF114" s="48">
        <f t="shared" si="1681"/>
        <v>0</v>
      </c>
      <c r="EG114" s="62">
        <f t="shared" si="1682"/>
        <v>15000</v>
      </c>
      <c r="EH114" s="62">
        <f t="shared" si="1683"/>
        <v>47250</v>
      </c>
      <c r="EI114" s="48">
        <f t="shared" si="1684"/>
        <v>0</v>
      </c>
      <c r="EJ114" s="62">
        <f t="shared" si="1685"/>
        <v>15000</v>
      </c>
      <c r="EK114" s="62">
        <f t="shared" si="1686"/>
        <v>47250</v>
      </c>
      <c r="EL114" s="48">
        <f t="shared" si="1687"/>
        <v>0</v>
      </c>
      <c r="EM114" s="62">
        <f t="shared" si="1688"/>
        <v>15000</v>
      </c>
      <c r="EN114" s="62">
        <f t="shared" si="1689"/>
        <v>47250</v>
      </c>
      <c r="EO114" s="48">
        <f t="shared" si="1690"/>
        <v>0</v>
      </c>
      <c r="EP114" s="62">
        <f t="shared" si="1691"/>
        <v>15750</v>
      </c>
      <c r="EQ114" s="62">
        <f t="shared" si="1691"/>
        <v>15750</v>
      </c>
      <c r="ER114" s="62">
        <f t="shared" si="1691"/>
        <v>15750</v>
      </c>
      <c r="ES114" s="62">
        <f t="shared" ref="ES114:EU116" si="1697">BN114*$FH114</f>
        <v>15750</v>
      </c>
      <c r="ET114" s="62">
        <f t="shared" si="1697"/>
        <v>15750</v>
      </c>
      <c r="EU114" s="62">
        <f t="shared" si="1697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92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 t="shared" si="1034"/>
        <v>1</v>
      </c>
      <c r="FS114" s="103" t="b">
        <f t="shared" si="1035"/>
        <v>0</v>
      </c>
      <c r="FT114" s="103" t="b">
        <f t="shared" si="1036"/>
        <v>1</v>
      </c>
      <c r="FU114" s="103" t="b">
        <f t="shared" si="1037"/>
        <v>0</v>
      </c>
      <c r="FV114" s="103" t="b">
        <f t="shared" si="1038"/>
        <v>1</v>
      </c>
      <c r="FW114" s="104" t="b">
        <f t="shared" si="1094"/>
        <v>0</v>
      </c>
      <c r="FX114" s="120" t="b">
        <f t="shared" si="1693"/>
        <v>1</v>
      </c>
      <c r="FY114" s="104" t="s">
        <v>214</v>
      </c>
      <c r="FZ114" s="104" t="b">
        <f t="shared" si="1694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95"/>
        <v>1</v>
      </c>
      <c r="GI114" s="8" t="b">
        <f t="shared" si="1696"/>
        <v>0</v>
      </c>
    </row>
    <row r="115" spans="1:191" s="31" customFormat="1" hidden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39"/>
        <v>нет минмакс</v>
      </c>
      <c r="Q115" s="95">
        <v>17272</v>
      </c>
      <c r="R115" s="95">
        <f t="shared" si="1640"/>
        <v>53025.04</v>
      </c>
      <c r="S115" s="112">
        <v>9433</v>
      </c>
      <c r="T115" s="112">
        <v>28299</v>
      </c>
      <c r="U115" s="112">
        <f t="shared" si="1641"/>
        <v>0</v>
      </c>
      <c r="V115" s="113">
        <f t="shared" si="1642"/>
        <v>191</v>
      </c>
      <c r="W115" s="113">
        <f t="shared" si="1643"/>
        <v>586.37</v>
      </c>
      <c r="X115" s="113">
        <f t="shared" si="1644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45"/>
        <v>0</v>
      </c>
      <c r="AF115" s="95">
        <f t="shared" si="1646"/>
        <v>0</v>
      </c>
      <c r="AG115" s="114">
        <v>0</v>
      </c>
      <c r="AH115" s="95">
        <f t="shared" si="1647"/>
        <v>191</v>
      </c>
      <c r="AI115" s="115">
        <f t="shared" si="1648"/>
        <v>586.37</v>
      </c>
      <c r="AJ115" s="95">
        <f t="shared" si="1649"/>
        <v>5108</v>
      </c>
      <c r="AK115" s="95">
        <f t="shared" si="1650"/>
        <v>20728</v>
      </c>
      <c r="AL115" s="95">
        <f t="shared" si="1651"/>
        <v>35728</v>
      </c>
      <c r="AM115" s="95">
        <f t="shared" si="1652"/>
        <v>30000</v>
      </c>
      <c r="AN115" s="95">
        <f t="shared" si="1653"/>
        <v>56.597999999999999</v>
      </c>
      <c r="AO115" s="95" t="str">
        <f t="shared" si="1654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55"/>
        <v>0-04</v>
      </c>
      <c r="AW115" s="117">
        <f t="shared" si="1656"/>
        <v>0</v>
      </c>
      <c r="AX115" s="118"/>
      <c r="AY115" s="25">
        <f t="shared" si="1657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58"/>
        <v>0</v>
      </c>
      <c r="BG115" s="29">
        <v>0</v>
      </c>
      <c r="BH115" s="29">
        <f t="shared" si="1659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60"/>
        <v>5000</v>
      </c>
      <c r="BR115" s="95">
        <f t="shared" si="1661"/>
        <v>12272</v>
      </c>
      <c r="BS115" s="95">
        <f t="shared" si="1662"/>
        <v>7272</v>
      </c>
      <c r="BT115" s="95">
        <f t="shared" si="1662"/>
        <v>2272</v>
      </c>
      <c r="BU115" s="95">
        <f t="shared" si="1662"/>
        <v>-2728</v>
      </c>
      <c r="BV115" s="95">
        <f t="shared" si="1662"/>
        <v>-7728</v>
      </c>
      <c r="BW115" s="95">
        <f t="shared" si="1662"/>
        <v>-12728</v>
      </c>
      <c r="BX115" s="95">
        <f t="shared" si="1663"/>
        <v>-17728</v>
      </c>
      <c r="BY115" s="95">
        <f t="shared" si="1663"/>
        <v>-22728</v>
      </c>
      <c r="BZ115" s="95">
        <f t="shared" si="1663"/>
        <v>-27728</v>
      </c>
      <c r="CA115" s="95">
        <f t="shared" si="1663"/>
        <v>-32728</v>
      </c>
      <c r="CB115" s="95">
        <f t="shared" si="1663"/>
        <v>-37728</v>
      </c>
      <c r="CC115" s="95">
        <f t="shared" si="1663"/>
        <v>-42728</v>
      </c>
      <c r="CD115" s="95">
        <f t="shared" si="1663"/>
        <v>-47728</v>
      </c>
      <c r="CE115" s="95">
        <f t="shared" si="1663"/>
        <v>-52728</v>
      </c>
      <c r="CF115" s="95">
        <f t="shared" si="1663"/>
        <v>-57728</v>
      </c>
      <c r="CG115" s="95">
        <f t="shared" si="1663"/>
        <v>-62728</v>
      </c>
      <c r="CH115" s="95">
        <f t="shared" si="1663"/>
        <v>-67728</v>
      </c>
      <c r="CI115" s="95">
        <f t="shared" si="1663"/>
        <v>-72728</v>
      </c>
      <c r="CJ115" s="95">
        <f t="shared" si="1663"/>
        <v>-77728</v>
      </c>
      <c r="CK115" s="95">
        <f t="shared" si="1663"/>
        <v>-82728</v>
      </c>
      <c r="CL115" s="95">
        <f t="shared" si="1663"/>
        <v>-87728</v>
      </c>
      <c r="CM115" s="95">
        <f t="shared" si="1663"/>
        <v>-92728</v>
      </c>
      <c r="CN115" s="95">
        <f t="shared" si="1663"/>
        <v>-97728</v>
      </c>
      <c r="CO115" s="95">
        <f t="shared" si="1663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64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65"/>
        <v>0</v>
      </c>
      <c r="DB115" s="62">
        <f t="shared" si="1666"/>
        <v>0</v>
      </c>
      <c r="DC115" s="62">
        <f t="shared" si="1667"/>
        <v>0</v>
      </c>
      <c r="DD115" s="102">
        <f t="shared" si="1668"/>
        <v>0</v>
      </c>
      <c r="DE115" s="31">
        <v>0</v>
      </c>
      <c r="DF115" s="31">
        <v>90</v>
      </c>
      <c r="DG115" s="31">
        <v>0</v>
      </c>
      <c r="DH115" s="48">
        <f t="shared" si="1669"/>
        <v>0</v>
      </c>
      <c r="DI115" s="62">
        <v>967.74199999999996</v>
      </c>
      <c r="DJ115" s="62">
        <v>3022.97</v>
      </c>
      <c r="DK115" s="48">
        <f t="shared" si="1670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71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72"/>
        <v>0</v>
      </c>
      <c r="DV115" s="62">
        <v>5567</v>
      </c>
      <c r="DW115" s="62">
        <v>16683.335909000001</v>
      </c>
      <c r="DX115" s="62">
        <f t="shared" si="1673"/>
        <v>15000</v>
      </c>
      <c r="DY115" s="62">
        <f t="shared" si="1674"/>
        <v>46050</v>
      </c>
      <c r="DZ115" s="48">
        <f t="shared" si="1675"/>
        <v>0</v>
      </c>
      <c r="EA115" s="62">
        <f t="shared" si="1676"/>
        <v>15000</v>
      </c>
      <c r="EB115" s="62">
        <f t="shared" si="1677"/>
        <v>46050</v>
      </c>
      <c r="EC115" s="48">
        <f t="shared" si="1678"/>
        <v>0</v>
      </c>
      <c r="ED115" s="62">
        <f t="shared" si="1679"/>
        <v>15000</v>
      </c>
      <c r="EE115" s="62">
        <f t="shared" si="1680"/>
        <v>46050</v>
      </c>
      <c r="EF115" s="48">
        <f t="shared" si="1681"/>
        <v>0</v>
      </c>
      <c r="EG115" s="62">
        <f t="shared" si="1682"/>
        <v>15000</v>
      </c>
      <c r="EH115" s="62">
        <f t="shared" si="1683"/>
        <v>46050</v>
      </c>
      <c r="EI115" s="48">
        <f t="shared" si="1684"/>
        <v>0</v>
      </c>
      <c r="EJ115" s="62">
        <f t="shared" si="1685"/>
        <v>15000</v>
      </c>
      <c r="EK115" s="62">
        <f t="shared" si="1686"/>
        <v>46050</v>
      </c>
      <c r="EL115" s="48">
        <f t="shared" si="1687"/>
        <v>0</v>
      </c>
      <c r="EM115" s="62">
        <f t="shared" si="1688"/>
        <v>15000</v>
      </c>
      <c r="EN115" s="62">
        <f t="shared" si="1689"/>
        <v>46050</v>
      </c>
      <c r="EO115" s="48">
        <f t="shared" si="1690"/>
        <v>0</v>
      </c>
      <c r="EP115" s="62">
        <f t="shared" ref="EP115:ER116" si="1698">BK115*$FH115</f>
        <v>15350</v>
      </c>
      <c r="EQ115" s="62">
        <f t="shared" si="1698"/>
        <v>15350</v>
      </c>
      <c r="ER115" s="62">
        <f t="shared" si="1698"/>
        <v>15350</v>
      </c>
      <c r="ES115" s="62">
        <f t="shared" si="1697"/>
        <v>15350</v>
      </c>
      <c r="ET115" s="62">
        <f t="shared" si="1697"/>
        <v>15350</v>
      </c>
      <c r="EU115" s="62">
        <f t="shared" si="1697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92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 t="shared" si="1034"/>
        <v>1</v>
      </c>
      <c r="FS115" s="103" t="b">
        <f t="shared" si="1035"/>
        <v>0</v>
      </c>
      <c r="FT115" s="103" t="b">
        <f t="shared" si="1036"/>
        <v>1</v>
      </c>
      <c r="FU115" s="103" t="b">
        <f t="shared" si="1037"/>
        <v>0</v>
      </c>
      <c r="FV115" s="103" t="b">
        <f t="shared" si="1038"/>
        <v>1</v>
      </c>
      <c r="FW115" s="104" t="b">
        <f t="shared" si="1094"/>
        <v>0</v>
      </c>
      <c r="FX115" s="120" t="b">
        <f t="shared" si="1693"/>
        <v>1</v>
      </c>
      <c r="FY115" s="104" t="s">
        <v>214</v>
      </c>
      <c r="FZ115" s="104" t="b">
        <f t="shared" si="1694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95"/>
        <v>1</v>
      </c>
      <c r="GI115" s="8" t="b">
        <f t="shared" si="1696"/>
        <v>0</v>
      </c>
    </row>
    <row r="116" spans="1:191" s="31" customFormat="1" hidden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39"/>
        <v>нет минмакс</v>
      </c>
      <c r="Q116" s="95">
        <v>1448</v>
      </c>
      <c r="R116" s="95">
        <f t="shared" si="1640"/>
        <v>25470.32</v>
      </c>
      <c r="S116" s="112">
        <v>840</v>
      </c>
      <c r="T116" s="112">
        <v>15892.800000000001</v>
      </c>
      <c r="U116" s="112">
        <f t="shared" si="1641"/>
        <v>0</v>
      </c>
      <c r="V116" s="113">
        <f t="shared" si="1642"/>
        <v>755</v>
      </c>
      <c r="W116" s="113">
        <f t="shared" si="1643"/>
        <v>13280.45</v>
      </c>
      <c r="X116" s="113">
        <f t="shared" si="1644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45"/>
        <v>2972.71</v>
      </c>
      <c r="AF116" s="95">
        <f t="shared" si="1646"/>
        <v>0</v>
      </c>
      <c r="AG116" s="114">
        <v>0</v>
      </c>
      <c r="AH116" s="95">
        <f t="shared" si="1647"/>
        <v>755</v>
      </c>
      <c r="AI116" s="115">
        <f t="shared" si="1648"/>
        <v>13280.45</v>
      </c>
      <c r="AJ116" s="95">
        <f t="shared" si="1649"/>
        <v>418</v>
      </c>
      <c r="AK116" s="95">
        <f t="shared" si="1650"/>
        <v>1552</v>
      </c>
      <c r="AL116" s="95">
        <f t="shared" si="1651"/>
        <v>1552</v>
      </c>
      <c r="AM116" s="95">
        <f t="shared" si="1652"/>
        <v>2500.02</v>
      </c>
      <c r="AN116" s="95">
        <f t="shared" si="1653"/>
        <v>60.479516163870692</v>
      </c>
      <c r="AO116" s="95" t="str">
        <f t="shared" si="1654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55"/>
        <v>0-04</v>
      </c>
      <c r="AW116" s="117">
        <f t="shared" si="1656"/>
        <v>0</v>
      </c>
      <c r="AX116" s="118"/>
      <c r="AY116" s="25">
        <f t="shared" si="1657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58"/>
        <v>0</v>
      </c>
      <c r="BG116" s="29">
        <v>0</v>
      </c>
      <c r="BH116" s="29">
        <f t="shared" si="1659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60"/>
        <v>416.67</v>
      </c>
      <c r="BR116" s="95">
        <f t="shared" si="1661"/>
        <v>1031.33</v>
      </c>
      <c r="BS116" s="95">
        <f t="shared" si="1662"/>
        <v>614.65999999999985</v>
      </c>
      <c r="BT116" s="95">
        <f t="shared" si="1662"/>
        <v>197.98999999999984</v>
      </c>
      <c r="BU116" s="95">
        <f t="shared" si="1662"/>
        <v>-218.68000000000018</v>
      </c>
      <c r="BV116" s="95">
        <f t="shared" si="1662"/>
        <v>-635.35000000000014</v>
      </c>
      <c r="BW116" s="95">
        <f t="shared" si="1662"/>
        <v>-1052.0200000000002</v>
      </c>
      <c r="BX116" s="95">
        <f t="shared" si="1663"/>
        <v>-1468.6900000000003</v>
      </c>
      <c r="BY116" s="95">
        <f t="shared" si="1663"/>
        <v>-1885.3600000000004</v>
      </c>
      <c r="BZ116" s="95">
        <f t="shared" si="1663"/>
        <v>-2302.0300000000002</v>
      </c>
      <c r="CA116" s="95">
        <f t="shared" si="1663"/>
        <v>-2718.7000000000003</v>
      </c>
      <c r="CB116" s="95">
        <f t="shared" si="1663"/>
        <v>-3135.3700000000003</v>
      </c>
      <c r="CC116" s="95">
        <f t="shared" si="1663"/>
        <v>-3552.0400000000004</v>
      </c>
      <c r="CD116" s="95">
        <f t="shared" si="1663"/>
        <v>-3968.7100000000005</v>
      </c>
      <c r="CE116" s="95">
        <f t="shared" si="1663"/>
        <v>-4385.38</v>
      </c>
      <c r="CF116" s="95">
        <f t="shared" si="1663"/>
        <v>-4802.05</v>
      </c>
      <c r="CG116" s="95">
        <f t="shared" si="1663"/>
        <v>-5218.72</v>
      </c>
      <c r="CH116" s="95">
        <f t="shared" si="1663"/>
        <v>-5635.39</v>
      </c>
      <c r="CI116" s="95">
        <f t="shared" si="1663"/>
        <v>-6052.06</v>
      </c>
      <c r="CJ116" s="95">
        <f t="shared" si="1663"/>
        <v>-6468.7300000000005</v>
      </c>
      <c r="CK116" s="95">
        <f t="shared" si="1663"/>
        <v>-6885.4000000000005</v>
      </c>
      <c r="CL116" s="95">
        <f t="shared" si="1663"/>
        <v>-7302.0700000000006</v>
      </c>
      <c r="CM116" s="95">
        <f t="shared" si="1663"/>
        <v>-7718.7400000000007</v>
      </c>
      <c r="CN116" s="95">
        <f t="shared" si="1663"/>
        <v>-8135.4100000000008</v>
      </c>
      <c r="CO116" s="95">
        <f t="shared" si="1663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64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65"/>
        <v>0</v>
      </c>
      <c r="DB116" s="62">
        <f t="shared" si="1666"/>
        <v>0</v>
      </c>
      <c r="DC116" s="62">
        <f t="shared" si="1667"/>
        <v>0</v>
      </c>
      <c r="DD116" s="102">
        <f t="shared" si="1668"/>
        <v>0</v>
      </c>
      <c r="DE116" s="31">
        <v>0</v>
      </c>
      <c r="DF116" s="31">
        <v>90</v>
      </c>
      <c r="DG116" s="31">
        <v>0</v>
      </c>
      <c r="DH116" s="48">
        <f t="shared" si="1669"/>
        <v>0</v>
      </c>
      <c r="DI116" s="62">
        <v>83.870999999999995</v>
      </c>
      <c r="DJ116" s="62">
        <v>1587.1969999999999</v>
      </c>
      <c r="DK116" s="48">
        <f t="shared" si="1670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71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72"/>
        <v>0</v>
      </c>
      <c r="DV116" s="62">
        <v>460</v>
      </c>
      <c r="DW116" s="62">
        <v>8705.1673846153844</v>
      </c>
      <c r="DX116" s="62">
        <f t="shared" si="1673"/>
        <v>1250.01</v>
      </c>
      <c r="DY116" s="62">
        <f t="shared" si="1674"/>
        <v>21987.675899999998</v>
      </c>
      <c r="DZ116" s="48">
        <f t="shared" si="1675"/>
        <v>0</v>
      </c>
      <c r="EA116" s="62">
        <f t="shared" si="1676"/>
        <v>1250.01</v>
      </c>
      <c r="EB116" s="62">
        <f t="shared" si="1677"/>
        <v>21987.675899999998</v>
      </c>
      <c r="EC116" s="48">
        <f t="shared" si="1678"/>
        <v>0</v>
      </c>
      <c r="ED116" s="62">
        <f t="shared" si="1679"/>
        <v>1250.01</v>
      </c>
      <c r="EE116" s="62">
        <f t="shared" si="1680"/>
        <v>21987.675899999998</v>
      </c>
      <c r="EF116" s="48">
        <f t="shared" si="1681"/>
        <v>0</v>
      </c>
      <c r="EG116" s="62">
        <f t="shared" si="1682"/>
        <v>1250.01</v>
      </c>
      <c r="EH116" s="62">
        <f t="shared" si="1683"/>
        <v>21987.675899999998</v>
      </c>
      <c r="EI116" s="48">
        <f t="shared" si="1684"/>
        <v>0</v>
      </c>
      <c r="EJ116" s="62">
        <f t="shared" si="1685"/>
        <v>1250.01</v>
      </c>
      <c r="EK116" s="62">
        <f t="shared" si="1686"/>
        <v>21987.675899999998</v>
      </c>
      <c r="EL116" s="48">
        <f t="shared" si="1687"/>
        <v>0</v>
      </c>
      <c r="EM116" s="62">
        <f t="shared" si="1688"/>
        <v>1250.01</v>
      </c>
      <c r="EN116" s="62">
        <f t="shared" si="1689"/>
        <v>21987.675899999998</v>
      </c>
      <c r="EO116" s="48">
        <f t="shared" si="1690"/>
        <v>0</v>
      </c>
      <c r="EP116" s="62">
        <f t="shared" si="1698"/>
        <v>7329.2253000000001</v>
      </c>
      <c r="EQ116" s="62">
        <f t="shared" si="1698"/>
        <v>7329.2253000000001</v>
      </c>
      <c r="ER116" s="62">
        <f t="shared" si="1698"/>
        <v>7329.2253000000001</v>
      </c>
      <c r="ES116" s="62">
        <f t="shared" si="1697"/>
        <v>7329.2253000000001</v>
      </c>
      <c r="ET116" s="62">
        <f t="shared" si="1697"/>
        <v>7329.2253000000001</v>
      </c>
      <c r="EU116" s="62">
        <f t="shared" si="1697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92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 t="shared" si="1034"/>
        <v>1</v>
      </c>
      <c r="FS116" s="103" t="b">
        <f t="shared" si="1035"/>
        <v>0</v>
      </c>
      <c r="FT116" s="103" t="b">
        <f t="shared" si="1036"/>
        <v>1</v>
      </c>
      <c r="FU116" s="103" t="b">
        <f t="shared" si="1037"/>
        <v>0</v>
      </c>
      <c r="FV116" s="103" t="b">
        <f t="shared" si="1038"/>
        <v>1</v>
      </c>
      <c r="FW116" s="104" t="b">
        <f t="shared" si="1094"/>
        <v>0</v>
      </c>
      <c r="FX116" s="120" t="b">
        <f t="shared" si="1693"/>
        <v>1</v>
      </c>
      <c r="FY116" s="104" t="s">
        <v>214</v>
      </c>
      <c r="FZ116" s="104" t="b">
        <f t="shared" si="1694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95"/>
        <v>1</v>
      </c>
      <c r="GI116" s="8" t="b">
        <f t="shared" si="1696"/>
        <v>0</v>
      </c>
    </row>
    <row r="117" spans="1:191" s="31" customFormat="1" hidden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99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700">Q117*FH117</f>
        <v>0</v>
      </c>
      <c r="S117" s="94">
        <v>0</v>
      </c>
      <c r="T117" s="94">
        <v>0</v>
      </c>
      <c r="U117" s="94">
        <f t="shared" ref="U117:U128" si="1701">IFERROR(ROUNDUP(S117/$EX117,0)*$EY117,0)</f>
        <v>0</v>
      </c>
      <c r="V117" s="94">
        <f t="shared" ref="V117:V128" si="1702">SUM(Z117:AD117)</f>
        <v>0</v>
      </c>
      <c r="W117" s="94">
        <f t="shared" ref="W117:W128" si="1703">V117*FH117</f>
        <v>0</v>
      </c>
      <c r="X117" s="94">
        <f t="shared" ref="X117:X128" si="1704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705">AA117*FH117</f>
        <v>0</v>
      </c>
      <c r="AF117" s="95">
        <f t="shared" ref="AF117:AF128" si="1706">AB117*FH117</f>
        <v>0</v>
      </c>
      <c r="AG117" s="96">
        <v>0</v>
      </c>
      <c r="AH117" s="95">
        <f t="shared" ref="AH117:AH128" si="1707">V117-AG117</f>
        <v>0</v>
      </c>
      <c r="AI117" s="94">
        <f t="shared" ref="AI117:AI128" si="1708">IF(AH117&gt;0,AH117*FH117,0)</f>
        <v>0</v>
      </c>
      <c r="AJ117" s="94">
        <f t="shared" ref="AJ117:AJ128" si="1709">CU117</f>
        <v>0</v>
      </c>
      <c r="AK117" s="94">
        <f t="shared" ref="AK117:AK128" si="1710">SUM(CS117:CU117)</f>
        <v>0</v>
      </c>
      <c r="AL117" s="94">
        <f t="shared" ref="AL117:AL128" si="1711">SUM(CP117:CU117)</f>
        <v>176</v>
      </c>
      <c r="AM117" s="94">
        <f t="shared" ref="AM117:AM128" si="1712">SUM(BK117:BP117)</f>
        <v>40</v>
      </c>
      <c r="AN117" s="94">
        <f t="shared" ref="AN117:AN128" si="1713">IFERROR(S117/BQ117*30,"нет оборота")</f>
        <v>0</v>
      </c>
      <c r="AO117" s="94" t="str">
        <f t="shared" ref="AO117:AO128" si="1714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15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16">IF(AT117="Да",W117,0)</f>
        <v>0</v>
      </c>
      <c r="AX117" s="93"/>
      <c r="AY117" s="94">
        <f t="shared" ref="AY117:AY128" si="1717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18">BE117*FH117</f>
        <v>0</v>
      </c>
      <c r="BG117" s="29">
        <v>0</v>
      </c>
      <c r="BH117" s="29">
        <f t="shared" ref="BH117:BH128" si="1719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20">IF(COUNTIF(BK117:BP117,"&gt;0")=0,0,SUM(BK117:BP117)/COUNTIF(BK117:BP117,"&gt;0"))</f>
        <v>10</v>
      </c>
      <c r="BR117" s="95">
        <f t="shared" ref="BR117:BR128" si="1721">IF(OR(Q117=0,SUM(BK117:BP117)=0,V117&gt;Q117),V117-BK117,Q117-BK117)</f>
        <v>-10</v>
      </c>
      <c r="BS117" s="95">
        <f t="shared" ref="BS117:BW128" si="1722">BR117-BL117</f>
        <v>-10</v>
      </c>
      <c r="BT117" s="95">
        <f t="shared" si="1722"/>
        <v>-10</v>
      </c>
      <c r="BU117" s="95">
        <f t="shared" si="1722"/>
        <v>-20</v>
      </c>
      <c r="BV117" s="95">
        <f t="shared" si="1722"/>
        <v>-30</v>
      </c>
      <c r="BW117" s="95">
        <f t="shared" si="1722"/>
        <v>-40</v>
      </c>
      <c r="BX117" s="95">
        <f t="shared" ref="BX117:BZ117" si="1723">BW117-$BQ117</f>
        <v>-50</v>
      </c>
      <c r="BY117" s="95">
        <f t="shared" si="1723"/>
        <v>-60</v>
      </c>
      <c r="BZ117" s="95">
        <f t="shared" si="1723"/>
        <v>-70</v>
      </c>
      <c r="CA117" s="95">
        <f t="shared" ref="CA117:CO117" si="1724">BZ117-$BQ117</f>
        <v>-80</v>
      </c>
      <c r="CB117" s="95">
        <f t="shared" si="1724"/>
        <v>-90</v>
      </c>
      <c r="CC117" s="95">
        <f t="shared" si="1724"/>
        <v>-100</v>
      </c>
      <c r="CD117" s="95">
        <f t="shared" si="1724"/>
        <v>-110</v>
      </c>
      <c r="CE117" s="95">
        <f t="shared" si="1724"/>
        <v>-120</v>
      </c>
      <c r="CF117" s="95">
        <f t="shared" si="1724"/>
        <v>-130</v>
      </c>
      <c r="CG117" s="95">
        <f t="shared" si="1724"/>
        <v>-140</v>
      </c>
      <c r="CH117" s="95">
        <f t="shared" si="1724"/>
        <v>-150</v>
      </c>
      <c r="CI117" s="95">
        <f t="shared" si="1724"/>
        <v>-160</v>
      </c>
      <c r="CJ117" s="95">
        <f t="shared" si="1724"/>
        <v>-170</v>
      </c>
      <c r="CK117" s="95">
        <f t="shared" si="1724"/>
        <v>-180</v>
      </c>
      <c r="CL117" s="95">
        <f t="shared" si="1724"/>
        <v>-190</v>
      </c>
      <c r="CM117" s="95">
        <f t="shared" si="1724"/>
        <v>-200</v>
      </c>
      <c r="CN117" s="95">
        <f t="shared" si="1724"/>
        <v>-210</v>
      </c>
      <c r="CO117" s="95">
        <f t="shared" si="1724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25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26">IFERROR(CZ117/CY117,0)</f>
        <v>0</v>
      </c>
      <c r="DB117" s="62">
        <f t="shared" ref="DB117:DB128" si="1727">CY117*FH117</f>
        <v>476337.60000000003</v>
      </c>
      <c r="DC117" s="62">
        <f t="shared" ref="DC117:DC128" si="1728">CZ117*FH117</f>
        <v>0</v>
      </c>
      <c r="DD117" s="102">
        <f t="shared" ref="DD117:DD128" si="1729">IFERROR(DC117/DB117,0)</f>
        <v>0</v>
      </c>
      <c r="DE117" s="31">
        <v>0</v>
      </c>
      <c r="DG117" s="31">
        <v>0</v>
      </c>
      <c r="DH117" s="48">
        <f t="shared" ref="DH117:DH128" si="1730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31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32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33">IFERROR(ROUNDUP(DS117/$EX117,0)*$EY117,0)</f>
        <v>0</v>
      </c>
      <c r="DV117" s="62">
        <v>0</v>
      </c>
      <c r="DW117" s="62">
        <v>0</v>
      </c>
      <c r="DX117" s="62">
        <f t="shared" ref="DX117:DX128" si="1734">$DF117*BK117/30</f>
        <v>0</v>
      </c>
      <c r="DY117" s="62">
        <f t="shared" ref="DY117:DY128" si="1735">DX117*$FH117</f>
        <v>0</v>
      </c>
      <c r="DZ117" s="48">
        <f t="shared" ref="DZ117:DZ128" si="1736">IFERROR(ROUNDUP(DX117/$EX117,0)*$EY117,0)</f>
        <v>0</v>
      </c>
      <c r="EA117" s="62">
        <f t="shared" ref="EA117:EA128" si="1737">$DF117*BL117/30</f>
        <v>0</v>
      </c>
      <c r="EB117" s="62">
        <f t="shared" ref="EB117:EB128" si="1738">EA117*$FH117</f>
        <v>0</v>
      </c>
      <c r="EC117" s="48">
        <f t="shared" ref="EC117:EC128" si="1739">IFERROR(ROUNDUP(EA117/$EX117,0)*$EY117,0)</f>
        <v>0</v>
      </c>
      <c r="ED117" s="62">
        <f t="shared" ref="ED117:ED128" si="1740">$DF117*BM117/30</f>
        <v>0</v>
      </c>
      <c r="EE117" s="62">
        <f t="shared" ref="EE117:EE128" si="1741">ED117*$FH117</f>
        <v>0</v>
      </c>
      <c r="EF117" s="48">
        <f t="shared" ref="EF117:EF128" si="1742">IFERROR(ROUNDUP(ED117/$EX117,0)*$EY117,0)</f>
        <v>0</v>
      </c>
      <c r="EG117" s="62">
        <f t="shared" ref="EG117:EG128" si="1743">$DF117*BN117/30</f>
        <v>0</v>
      </c>
      <c r="EH117" s="62">
        <f t="shared" ref="EH117:EH128" si="1744">EG117*$FH117</f>
        <v>0</v>
      </c>
      <c r="EI117" s="48">
        <f t="shared" ref="EI117:EI128" si="1745">IFERROR(ROUNDUP(EG117/$EX117,0)*$EY117,0)</f>
        <v>0</v>
      </c>
      <c r="EJ117" s="62">
        <f t="shared" ref="EJ117:EJ128" si="1746">$DF117*BO117/30</f>
        <v>0</v>
      </c>
      <c r="EK117" s="62">
        <f t="shared" ref="EK117:EK128" si="1747">EJ117*$FH117</f>
        <v>0</v>
      </c>
      <c r="EL117" s="48">
        <f t="shared" ref="EL117:EL128" si="1748">IFERROR(ROUNDUP(EJ117/$EX117,0)*$EY117,0)</f>
        <v>0</v>
      </c>
      <c r="EM117" s="62">
        <f t="shared" ref="EM117:EM128" si="1749">$DF117*BP117/30</f>
        <v>0</v>
      </c>
      <c r="EN117" s="62">
        <f t="shared" ref="EN117:EN128" si="1750">EM117*$FH117</f>
        <v>0</v>
      </c>
      <c r="EO117" s="48">
        <f t="shared" ref="EO117:EO128" si="1751">IFERROR(ROUNDUP(EM117/$EX117,0)*$EY117,0)</f>
        <v>0</v>
      </c>
      <c r="EP117" s="62">
        <f t="shared" ref="EP117:ER128" si="1752">BK117*$FH117</f>
        <v>476337.60000000003</v>
      </c>
      <c r="EQ117" s="62">
        <f t="shared" si="1752"/>
        <v>0</v>
      </c>
      <c r="ER117" s="62">
        <f t="shared" si="1752"/>
        <v>0</v>
      </c>
      <c r="ES117" s="62">
        <f t="shared" ref="ES117:EU128" si="1753">BN117*$FH117</f>
        <v>476337.60000000003</v>
      </c>
      <c r="ET117" s="62">
        <f t="shared" si="1753"/>
        <v>476337.60000000003</v>
      </c>
      <c r="EU117" s="62">
        <f t="shared" si="1753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54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 t="shared" si="1034"/>
        <v>1</v>
      </c>
      <c r="FS117" s="104" t="b">
        <f t="shared" si="1035"/>
        <v>1</v>
      </c>
      <c r="FT117" s="104" t="b">
        <f t="shared" si="1036"/>
        <v>1</v>
      </c>
      <c r="FU117" s="104" t="b">
        <f t="shared" si="1037"/>
        <v>0</v>
      </c>
      <c r="FV117" s="104" t="b">
        <f t="shared" si="1038"/>
        <v>1</v>
      </c>
      <c r="FW117" s="104" t="b">
        <f t="shared" si="1094"/>
        <v>0</v>
      </c>
      <c r="FX117" s="104" t="b">
        <f t="shared" ref="FX117:FX128" si="1755">EXACT(FQ117,BI117)</f>
        <v>1</v>
      </c>
      <c r="FY117" s="104" t="s">
        <v>214</v>
      </c>
      <c r="FZ117" s="104" t="b">
        <f t="shared" ref="FZ117:FZ128" si="1756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57">EXACT(GD117,C117)</f>
        <v>1</v>
      </c>
      <c r="GI117" s="108" t="b">
        <f t="shared" ref="GI117:GI128" si="1758">EXACT(GG117,G117)</f>
        <v>0</v>
      </c>
    </row>
    <row r="118" spans="1:191" s="31" customFormat="1" hidden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99"/>
        <v>нет минмакс</v>
      </c>
      <c r="Q118" s="95">
        <v>274</v>
      </c>
      <c r="R118" s="95">
        <f t="shared" si="1700"/>
        <v>35219.96</v>
      </c>
      <c r="S118" s="112">
        <v>274</v>
      </c>
      <c r="T118" s="112">
        <v>35219.96</v>
      </c>
      <c r="U118" s="112">
        <f t="shared" si="1701"/>
        <v>0</v>
      </c>
      <c r="V118" s="113">
        <f t="shared" si="1702"/>
        <v>274</v>
      </c>
      <c r="W118" s="113">
        <f t="shared" si="1703"/>
        <v>35219.96</v>
      </c>
      <c r="X118" s="113">
        <f t="shared" si="1704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705"/>
        <v>0</v>
      </c>
      <c r="AF118" s="95">
        <f t="shared" si="1706"/>
        <v>0</v>
      </c>
      <c r="AG118" s="114">
        <v>0</v>
      </c>
      <c r="AH118" s="95">
        <f t="shared" si="1707"/>
        <v>274</v>
      </c>
      <c r="AI118" s="115">
        <f t="shared" si="1708"/>
        <v>35219.96</v>
      </c>
      <c r="AJ118" s="95">
        <f t="shared" si="1709"/>
        <v>0</v>
      </c>
      <c r="AK118" s="95">
        <f t="shared" si="1710"/>
        <v>0</v>
      </c>
      <c r="AL118" s="95">
        <f t="shared" si="1711"/>
        <v>176</v>
      </c>
      <c r="AM118" s="95">
        <f t="shared" si="1712"/>
        <v>62</v>
      </c>
      <c r="AN118" s="95">
        <f t="shared" si="1713"/>
        <v>397.74193548387098</v>
      </c>
      <c r="AO118" s="95" t="str">
        <f t="shared" si="1714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15"/>
        <v>0-17</v>
      </c>
      <c r="AW118" s="117">
        <f t="shared" si="1716"/>
        <v>35219.96</v>
      </c>
      <c r="AX118" s="14">
        <f t="shared" ref="AX118:AX119" si="1759">MONTH(BC118)-6</f>
        <v>6</v>
      </c>
      <c r="AY118" s="25">
        <f t="shared" si="1717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18"/>
        <v>0</v>
      </c>
      <c r="BG118" s="29">
        <v>0</v>
      </c>
      <c r="BH118" s="29">
        <f t="shared" si="1719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20"/>
        <v>20.666666666666668</v>
      </c>
      <c r="BR118" s="95">
        <f t="shared" si="1721"/>
        <v>248</v>
      </c>
      <c r="BS118" s="95">
        <f t="shared" si="1722"/>
        <v>248</v>
      </c>
      <c r="BT118" s="95">
        <f t="shared" si="1722"/>
        <v>248</v>
      </c>
      <c r="BU118" s="95">
        <f t="shared" si="1722"/>
        <v>248</v>
      </c>
      <c r="BV118" s="95">
        <f t="shared" si="1722"/>
        <v>222</v>
      </c>
      <c r="BW118" s="95">
        <f t="shared" si="1722"/>
        <v>212</v>
      </c>
      <c r="BX118" s="95">
        <f t="shared" ref="BX118:CO128" si="1760">BW118-$BQ118</f>
        <v>191.33333333333334</v>
      </c>
      <c r="BY118" s="95">
        <f t="shared" si="1760"/>
        <v>170.66666666666669</v>
      </c>
      <c r="BZ118" s="95">
        <f t="shared" si="1760"/>
        <v>150.00000000000003</v>
      </c>
      <c r="CA118" s="95">
        <f t="shared" si="1760"/>
        <v>129.33333333333337</v>
      </c>
      <c r="CB118" s="95">
        <f t="shared" si="1760"/>
        <v>108.6666666666667</v>
      </c>
      <c r="CC118" s="95">
        <f t="shared" si="1760"/>
        <v>88.000000000000028</v>
      </c>
      <c r="CD118" s="95">
        <f t="shared" si="1760"/>
        <v>67.333333333333357</v>
      </c>
      <c r="CE118" s="95">
        <f t="shared" si="1760"/>
        <v>46.666666666666686</v>
      </c>
      <c r="CF118" s="95">
        <f t="shared" si="1760"/>
        <v>26.000000000000018</v>
      </c>
      <c r="CG118" s="95">
        <f t="shared" si="1760"/>
        <v>5.3333333333333499</v>
      </c>
      <c r="CH118" s="95">
        <f t="shared" si="1760"/>
        <v>-15.333333333333318</v>
      </c>
      <c r="CI118" s="95">
        <f t="shared" si="1760"/>
        <v>-35.999999999999986</v>
      </c>
      <c r="CJ118" s="95">
        <f t="shared" si="1760"/>
        <v>-56.666666666666657</v>
      </c>
      <c r="CK118" s="95">
        <f t="shared" si="1760"/>
        <v>-77.333333333333329</v>
      </c>
      <c r="CL118" s="95">
        <f t="shared" si="1760"/>
        <v>-98</v>
      </c>
      <c r="CM118" s="95">
        <f t="shared" si="1760"/>
        <v>-118.66666666666667</v>
      </c>
      <c r="CN118" s="95">
        <f t="shared" si="1760"/>
        <v>-139.33333333333334</v>
      </c>
      <c r="CO118" s="95">
        <f t="shared" si="1760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25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26"/>
        <v>0</v>
      </c>
      <c r="DB118" s="62">
        <f t="shared" si="1727"/>
        <v>0</v>
      </c>
      <c r="DC118" s="62">
        <f t="shared" si="1728"/>
        <v>0</v>
      </c>
      <c r="DD118" s="102">
        <f t="shared" si="1729"/>
        <v>0</v>
      </c>
      <c r="DE118" s="31">
        <v>0</v>
      </c>
      <c r="DF118" s="31">
        <v>90</v>
      </c>
      <c r="DG118" s="31">
        <v>0</v>
      </c>
      <c r="DH118" s="48">
        <f t="shared" si="1730"/>
        <v>0</v>
      </c>
      <c r="DI118" s="62">
        <v>165.67699999999999</v>
      </c>
      <c r="DJ118" s="62">
        <v>30408.769</v>
      </c>
      <c r="DK118" s="48">
        <f t="shared" si="1731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32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33"/>
        <v>0</v>
      </c>
      <c r="DV118" s="62">
        <v>0</v>
      </c>
      <c r="DW118" s="62">
        <v>0</v>
      </c>
      <c r="DX118" s="62">
        <f t="shared" si="1734"/>
        <v>78</v>
      </c>
      <c r="DY118" s="62">
        <f t="shared" si="1735"/>
        <v>10026.119999999999</v>
      </c>
      <c r="DZ118" s="48">
        <f t="shared" si="1736"/>
        <v>0</v>
      </c>
      <c r="EA118" s="62">
        <f t="shared" si="1737"/>
        <v>0</v>
      </c>
      <c r="EB118" s="62">
        <f t="shared" si="1738"/>
        <v>0</v>
      </c>
      <c r="EC118" s="48">
        <f t="shared" si="1739"/>
        <v>0</v>
      </c>
      <c r="ED118" s="62">
        <f t="shared" si="1740"/>
        <v>0</v>
      </c>
      <c r="EE118" s="62">
        <f t="shared" si="1741"/>
        <v>0</v>
      </c>
      <c r="EF118" s="48">
        <f t="shared" si="1742"/>
        <v>0</v>
      </c>
      <c r="EG118" s="62">
        <f t="shared" si="1743"/>
        <v>0</v>
      </c>
      <c r="EH118" s="62">
        <f t="shared" si="1744"/>
        <v>0</v>
      </c>
      <c r="EI118" s="48">
        <f t="shared" si="1745"/>
        <v>0</v>
      </c>
      <c r="EJ118" s="62">
        <f t="shared" si="1746"/>
        <v>78</v>
      </c>
      <c r="EK118" s="62">
        <f t="shared" si="1747"/>
        <v>10026.119999999999</v>
      </c>
      <c r="EL118" s="48">
        <f t="shared" si="1748"/>
        <v>0</v>
      </c>
      <c r="EM118" s="62">
        <f t="shared" si="1749"/>
        <v>30</v>
      </c>
      <c r="EN118" s="62">
        <f t="shared" si="1750"/>
        <v>3856.2</v>
      </c>
      <c r="EO118" s="48">
        <f t="shared" si="1751"/>
        <v>0</v>
      </c>
      <c r="EP118" s="62">
        <f t="shared" si="1752"/>
        <v>3342.04</v>
      </c>
      <c r="EQ118" s="62">
        <f t="shared" si="1752"/>
        <v>0</v>
      </c>
      <c r="ER118" s="62">
        <f t="shared" si="1752"/>
        <v>0</v>
      </c>
      <c r="ES118" s="62">
        <f t="shared" si="1753"/>
        <v>0</v>
      </c>
      <c r="ET118" s="62">
        <f t="shared" si="1753"/>
        <v>3342.04</v>
      </c>
      <c r="EU118" s="62">
        <f t="shared" si="1753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54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 t="shared" si="1034"/>
        <v>1</v>
      </c>
      <c r="FS118" s="103" t="b">
        <f t="shared" si="1035"/>
        <v>1</v>
      </c>
      <c r="FT118" s="103" t="b">
        <f t="shared" si="1036"/>
        <v>1</v>
      </c>
      <c r="FU118" s="103" t="b">
        <f t="shared" si="1037"/>
        <v>0</v>
      </c>
      <c r="FV118" s="103" t="b">
        <f t="shared" si="1038"/>
        <v>1</v>
      </c>
      <c r="FW118" s="104" t="b">
        <f t="shared" si="1094"/>
        <v>0</v>
      </c>
      <c r="FX118" s="120" t="b">
        <f t="shared" si="1755"/>
        <v>1</v>
      </c>
      <c r="FY118" s="104" t="s">
        <v>214</v>
      </c>
      <c r="FZ118" s="104" t="b">
        <f t="shared" si="1756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57"/>
        <v>1</v>
      </c>
      <c r="GI118" s="8" t="b">
        <f t="shared" si="1758"/>
        <v>0</v>
      </c>
    </row>
    <row r="119" spans="1:191" s="31" customFormat="1" hidden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99"/>
        <v>нет минмакс</v>
      </c>
      <c r="Q119" s="95">
        <v>196</v>
      </c>
      <c r="R119" s="95">
        <f t="shared" si="1700"/>
        <v>6109596.3600000003</v>
      </c>
      <c r="S119" s="94">
        <v>0</v>
      </c>
      <c r="T119" s="94">
        <v>0</v>
      </c>
      <c r="U119" s="94">
        <f t="shared" si="1701"/>
        <v>0</v>
      </c>
      <c r="V119" s="94">
        <f t="shared" si="1702"/>
        <v>196</v>
      </c>
      <c r="W119" s="94">
        <f t="shared" si="1703"/>
        <v>6109596.3600000003</v>
      </c>
      <c r="X119" s="94">
        <f t="shared" si="1704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705"/>
        <v>0</v>
      </c>
      <c r="AF119" s="95">
        <f t="shared" si="1706"/>
        <v>0</v>
      </c>
      <c r="AG119" s="96">
        <v>0</v>
      </c>
      <c r="AH119" s="95">
        <f t="shared" si="1707"/>
        <v>196</v>
      </c>
      <c r="AI119" s="94">
        <f t="shared" si="1708"/>
        <v>6109596.3600000003</v>
      </c>
      <c r="AJ119" s="94">
        <f t="shared" si="1709"/>
        <v>188</v>
      </c>
      <c r="AK119" s="94">
        <f t="shared" si="1710"/>
        <v>188</v>
      </c>
      <c r="AL119" s="94">
        <f t="shared" si="1711"/>
        <v>716</v>
      </c>
      <c r="AM119" s="94">
        <f t="shared" si="1712"/>
        <v>269.99999999999994</v>
      </c>
      <c r="AN119" s="94">
        <f t="shared" si="1713"/>
        <v>0</v>
      </c>
      <c r="AO119" s="94" t="str">
        <f t="shared" si="1714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15"/>
        <v>0-05</v>
      </c>
      <c r="AW119" s="98">
        <f t="shared" si="1716"/>
        <v>6109596.3600000003</v>
      </c>
      <c r="AX119" s="14">
        <f t="shared" si="1759"/>
        <v>3</v>
      </c>
      <c r="AY119" s="94">
        <f t="shared" si="1717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18"/>
        <v>0</v>
      </c>
      <c r="BG119" s="29">
        <v>0</v>
      </c>
      <c r="BH119" s="29">
        <f t="shared" si="1719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20"/>
        <v>44.999999999999993</v>
      </c>
      <c r="BR119" s="95">
        <f t="shared" si="1721"/>
        <v>136</v>
      </c>
      <c r="BS119" s="95">
        <f t="shared" si="1722"/>
        <v>121</v>
      </c>
      <c r="BT119" s="95">
        <f t="shared" si="1722"/>
        <v>106</v>
      </c>
      <c r="BU119" s="95">
        <f t="shared" si="1722"/>
        <v>46.000000000000007</v>
      </c>
      <c r="BV119" s="95">
        <f t="shared" si="1722"/>
        <v>-13.999999999999986</v>
      </c>
      <c r="BW119" s="95">
        <f t="shared" si="1722"/>
        <v>-73.999999999999972</v>
      </c>
      <c r="BX119" s="95">
        <f t="shared" si="1760"/>
        <v>-118.99999999999997</v>
      </c>
      <c r="BY119" s="95">
        <f t="shared" si="1760"/>
        <v>-163.99999999999997</v>
      </c>
      <c r="BZ119" s="95">
        <f t="shared" si="1760"/>
        <v>-208.99999999999997</v>
      </c>
      <c r="CA119" s="95">
        <f t="shared" si="1760"/>
        <v>-253.99999999999997</v>
      </c>
      <c r="CB119" s="95">
        <f t="shared" si="1760"/>
        <v>-298.99999999999994</v>
      </c>
      <c r="CC119" s="95">
        <f t="shared" si="1760"/>
        <v>-343.99999999999994</v>
      </c>
      <c r="CD119" s="95">
        <f t="shared" si="1760"/>
        <v>-388.99999999999994</v>
      </c>
      <c r="CE119" s="95">
        <f t="shared" si="1760"/>
        <v>-433.99999999999994</v>
      </c>
      <c r="CF119" s="95">
        <f t="shared" si="1760"/>
        <v>-478.99999999999994</v>
      </c>
      <c r="CG119" s="95">
        <f t="shared" si="1760"/>
        <v>-523.99999999999989</v>
      </c>
      <c r="CH119" s="95">
        <f t="shared" si="1760"/>
        <v>-568.99999999999989</v>
      </c>
      <c r="CI119" s="95">
        <f t="shared" si="1760"/>
        <v>-613.99999999999989</v>
      </c>
      <c r="CJ119" s="95">
        <f t="shared" si="1760"/>
        <v>-658.99999999999989</v>
      </c>
      <c r="CK119" s="95">
        <f t="shared" si="1760"/>
        <v>-703.99999999999989</v>
      </c>
      <c r="CL119" s="95">
        <f t="shared" si="1760"/>
        <v>-748.99999999999989</v>
      </c>
      <c r="CM119" s="95">
        <f t="shared" si="1760"/>
        <v>-793.99999999999989</v>
      </c>
      <c r="CN119" s="95">
        <f t="shared" si="1760"/>
        <v>-838.99999999999989</v>
      </c>
      <c r="CO119" s="95">
        <f t="shared" si="1760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25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26"/>
        <v>0</v>
      </c>
      <c r="DB119" s="62">
        <f t="shared" si="1727"/>
        <v>1246856.3999999999</v>
      </c>
      <c r="DC119" s="62">
        <f t="shared" si="1728"/>
        <v>0</v>
      </c>
      <c r="DD119" s="102">
        <f t="shared" si="1729"/>
        <v>0</v>
      </c>
      <c r="DE119" s="31">
        <v>0</v>
      </c>
      <c r="DG119" s="31">
        <v>0</v>
      </c>
      <c r="DH119" s="48">
        <f t="shared" si="1730"/>
        <v>0</v>
      </c>
      <c r="DI119" s="62">
        <v>151.87099999999998</v>
      </c>
      <c r="DJ119" s="62">
        <v>5336498.841</v>
      </c>
      <c r="DK119" s="48">
        <f t="shared" si="1731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32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33"/>
        <v>0</v>
      </c>
      <c r="DV119" s="62">
        <v>0</v>
      </c>
      <c r="DW119" s="62">
        <v>0</v>
      </c>
      <c r="DX119" s="62">
        <f t="shared" si="1734"/>
        <v>0</v>
      </c>
      <c r="DY119" s="62">
        <f t="shared" si="1735"/>
        <v>0</v>
      </c>
      <c r="DZ119" s="48">
        <f t="shared" si="1736"/>
        <v>0</v>
      </c>
      <c r="EA119" s="62">
        <f t="shared" si="1737"/>
        <v>0</v>
      </c>
      <c r="EB119" s="62">
        <f t="shared" si="1738"/>
        <v>0</v>
      </c>
      <c r="EC119" s="48">
        <f t="shared" si="1739"/>
        <v>0</v>
      </c>
      <c r="ED119" s="62">
        <f t="shared" si="1740"/>
        <v>0</v>
      </c>
      <c r="EE119" s="62">
        <f t="shared" si="1741"/>
        <v>0</v>
      </c>
      <c r="EF119" s="48">
        <f t="shared" si="1742"/>
        <v>0</v>
      </c>
      <c r="EG119" s="62">
        <f t="shared" si="1743"/>
        <v>0</v>
      </c>
      <c r="EH119" s="62">
        <f t="shared" si="1744"/>
        <v>0</v>
      </c>
      <c r="EI119" s="48">
        <f t="shared" si="1745"/>
        <v>0</v>
      </c>
      <c r="EJ119" s="62">
        <f t="shared" si="1746"/>
        <v>0</v>
      </c>
      <c r="EK119" s="62">
        <f t="shared" si="1747"/>
        <v>0</v>
      </c>
      <c r="EL119" s="48">
        <f t="shared" si="1748"/>
        <v>0</v>
      </c>
      <c r="EM119" s="62">
        <f t="shared" si="1749"/>
        <v>0</v>
      </c>
      <c r="EN119" s="62">
        <f t="shared" si="1750"/>
        <v>0</v>
      </c>
      <c r="EO119" s="48">
        <f t="shared" si="1751"/>
        <v>0</v>
      </c>
      <c r="EP119" s="62">
        <f t="shared" si="1752"/>
        <v>1870284.5999999999</v>
      </c>
      <c r="EQ119" s="62">
        <f t="shared" si="1752"/>
        <v>467571.14999999997</v>
      </c>
      <c r="ER119" s="62">
        <f t="shared" si="1752"/>
        <v>467571.14999999997</v>
      </c>
      <c r="ES119" s="62">
        <f t="shared" si="1753"/>
        <v>1870284.5999999999</v>
      </c>
      <c r="ET119" s="62">
        <f t="shared" si="1753"/>
        <v>1870284.5999999999</v>
      </c>
      <c r="EU119" s="62">
        <f t="shared" si="1753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54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 t="shared" si="1034"/>
        <v>1</v>
      </c>
      <c r="FS119" s="104" t="b">
        <f t="shared" si="1035"/>
        <v>1</v>
      </c>
      <c r="FT119" s="104" t="b">
        <f t="shared" si="1036"/>
        <v>1</v>
      </c>
      <c r="FU119" s="104" t="b">
        <f t="shared" si="1037"/>
        <v>0</v>
      </c>
      <c r="FV119" s="104" t="b">
        <f t="shared" si="1038"/>
        <v>1</v>
      </c>
      <c r="FW119" s="104" t="b">
        <f t="shared" si="1094"/>
        <v>0</v>
      </c>
      <c r="FX119" s="104" t="b">
        <f t="shared" si="1755"/>
        <v>1</v>
      </c>
      <c r="FY119" s="104" t="s">
        <v>214</v>
      </c>
      <c r="FZ119" s="104" t="b">
        <f t="shared" si="1756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57"/>
        <v>1</v>
      </c>
      <c r="GI119" s="108" t="b">
        <f t="shared" si="1758"/>
        <v>0</v>
      </c>
    </row>
    <row r="120" spans="1:191" s="31" customFormat="1" hidden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99"/>
        <v>нет минмакс</v>
      </c>
      <c r="Q120" s="95">
        <v>154</v>
      </c>
      <c r="R120" s="95">
        <f t="shared" si="1700"/>
        <v>12346.18</v>
      </c>
      <c r="S120" s="112">
        <v>254</v>
      </c>
      <c r="T120" s="112">
        <v>22004.02</v>
      </c>
      <c r="U120" s="112">
        <f t="shared" si="1701"/>
        <v>0</v>
      </c>
      <c r="V120" s="113">
        <f t="shared" si="1702"/>
        <v>154</v>
      </c>
      <c r="W120" s="113">
        <f t="shared" si="1703"/>
        <v>12346.18</v>
      </c>
      <c r="X120" s="113">
        <f t="shared" si="1704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705"/>
        <v>0</v>
      </c>
      <c r="AF120" s="95">
        <f t="shared" si="1706"/>
        <v>0</v>
      </c>
      <c r="AG120" s="114">
        <v>0</v>
      </c>
      <c r="AH120" s="95">
        <f t="shared" si="1707"/>
        <v>154</v>
      </c>
      <c r="AI120" s="115">
        <f t="shared" si="1708"/>
        <v>12346.18</v>
      </c>
      <c r="AJ120" s="95">
        <f t="shared" si="1709"/>
        <v>400</v>
      </c>
      <c r="AK120" s="95">
        <f t="shared" si="1710"/>
        <v>400</v>
      </c>
      <c r="AL120" s="95">
        <f t="shared" si="1711"/>
        <v>885</v>
      </c>
      <c r="AM120" s="95">
        <f t="shared" si="1712"/>
        <v>270</v>
      </c>
      <c r="AN120" s="95">
        <f t="shared" si="1713"/>
        <v>169.33333333333334</v>
      </c>
      <c r="AO120" s="95" t="str">
        <f t="shared" si="1714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15"/>
        <v>0-05</v>
      </c>
      <c r="AW120" s="117">
        <f t="shared" si="1716"/>
        <v>0</v>
      </c>
      <c r="AX120" s="118"/>
      <c r="AY120" s="25">
        <f t="shared" si="1717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18"/>
        <v>0</v>
      </c>
      <c r="BG120" s="29">
        <v>0</v>
      </c>
      <c r="BH120" s="29">
        <f t="shared" si="1719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20"/>
        <v>45</v>
      </c>
      <c r="BR120" s="95">
        <f t="shared" si="1721"/>
        <v>94</v>
      </c>
      <c r="BS120" s="95">
        <f t="shared" si="1722"/>
        <v>68</v>
      </c>
      <c r="BT120" s="95">
        <f t="shared" si="1722"/>
        <v>42</v>
      </c>
      <c r="BU120" s="95">
        <f t="shared" si="1722"/>
        <v>4</v>
      </c>
      <c r="BV120" s="95">
        <f t="shared" si="1722"/>
        <v>-56</v>
      </c>
      <c r="BW120" s="95">
        <f t="shared" si="1722"/>
        <v>-116</v>
      </c>
      <c r="BX120" s="95">
        <f t="shared" si="1760"/>
        <v>-161</v>
      </c>
      <c r="BY120" s="95">
        <f t="shared" si="1760"/>
        <v>-206</v>
      </c>
      <c r="BZ120" s="95">
        <f t="shared" si="1760"/>
        <v>-251</v>
      </c>
      <c r="CA120" s="95">
        <f t="shared" si="1760"/>
        <v>-296</v>
      </c>
      <c r="CB120" s="95">
        <f t="shared" si="1760"/>
        <v>-341</v>
      </c>
      <c r="CC120" s="95">
        <f t="shared" si="1760"/>
        <v>-386</v>
      </c>
      <c r="CD120" s="95">
        <f t="shared" si="1760"/>
        <v>-431</v>
      </c>
      <c r="CE120" s="95">
        <f t="shared" si="1760"/>
        <v>-476</v>
      </c>
      <c r="CF120" s="95">
        <f t="shared" si="1760"/>
        <v>-521</v>
      </c>
      <c r="CG120" s="95">
        <f t="shared" si="1760"/>
        <v>-566</v>
      </c>
      <c r="CH120" s="95">
        <f t="shared" si="1760"/>
        <v>-611</v>
      </c>
      <c r="CI120" s="95">
        <f t="shared" si="1760"/>
        <v>-656</v>
      </c>
      <c r="CJ120" s="95">
        <f t="shared" si="1760"/>
        <v>-701</v>
      </c>
      <c r="CK120" s="95">
        <f t="shared" si="1760"/>
        <v>-746</v>
      </c>
      <c r="CL120" s="95">
        <f t="shared" si="1760"/>
        <v>-791</v>
      </c>
      <c r="CM120" s="95">
        <f t="shared" si="1760"/>
        <v>-836</v>
      </c>
      <c r="CN120" s="95">
        <f t="shared" si="1760"/>
        <v>-881</v>
      </c>
      <c r="CO120" s="95">
        <f t="shared" si="1760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25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26"/>
        <v>0</v>
      </c>
      <c r="DB120" s="62">
        <f t="shared" si="1727"/>
        <v>0</v>
      </c>
      <c r="DC120" s="62">
        <f t="shared" si="1728"/>
        <v>0</v>
      </c>
      <c r="DD120" s="102">
        <f t="shared" si="1729"/>
        <v>0</v>
      </c>
      <c r="DE120" s="31">
        <v>0</v>
      </c>
      <c r="DF120" s="31">
        <v>90</v>
      </c>
      <c r="DG120" s="31">
        <v>0</v>
      </c>
      <c r="DH120" s="48">
        <f t="shared" si="1730"/>
        <v>0</v>
      </c>
      <c r="DI120" s="62">
        <v>291.45100000000002</v>
      </c>
      <c r="DJ120" s="62">
        <v>25228.164000000001</v>
      </c>
      <c r="DK120" s="48">
        <f t="shared" si="1731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32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33"/>
        <v>0</v>
      </c>
      <c r="DV120" s="62">
        <v>0</v>
      </c>
      <c r="DW120" s="62">
        <v>0</v>
      </c>
      <c r="DX120" s="62">
        <f t="shared" si="1734"/>
        <v>180</v>
      </c>
      <c r="DY120" s="62">
        <f t="shared" si="1735"/>
        <v>14430.6</v>
      </c>
      <c r="DZ120" s="48">
        <f t="shared" si="1736"/>
        <v>0</v>
      </c>
      <c r="EA120" s="62">
        <f t="shared" si="1737"/>
        <v>78</v>
      </c>
      <c r="EB120" s="62">
        <f t="shared" si="1738"/>
        <v>6253.26</v>
      </c>
      <c r="EC120" s="48">
        <f t="shared" si="1739"/>
        <v>0</v>
      </c>
      <c r="ED120" s="62">
        <f t="shared" si="1740"/>
        <v>78</v>
      </c>
      <c r="EE120" s="62">
        <f t="shared" si="1741"/>
        <v>6253.26</v>
      </c>
      <c r="EF120" s="48">
        <f t="shared" si="1742"/>
        <v>0</v>
      </c>
      <c r="EG120" s="62">
        <f t="shared" si="1743"/>
        <v>114</v>
      </c>
      <c r="EH120" s="62">
        <f t="shared" si="1744"/>
        <v>9139.380000000001</v>
      </c>
      <c r="EI120" s="48">
        <f t="shared" si="1745"/>
        <v>0</v>
      </c>
      <c r="EJ120" s="62">
        <f t="shared" si="1746"/>
        <v>180</v>
      </c>
      <c r="EK120" s="62">
        <f t="shared" si="1747"/>
        <v>14430.6</v>
      </c>
      <c r="EL120" s="48">
        <f t="shared" si="1748"/>
        <v>0</v>
      </c>
      <c r="EM120" s="62">
        <f t="shared" si="1749"/>
        <v>180</v>
      </c>
      <c r="EN120" s="62">
        <f t="shared" si="1750"/>
        <v>14430.6</v>
      </c>
      <c r="EO120" s="48">
        <f t="shared" si="1751"/>
        <v>0</v>
      </c>
      <c r="EP120" s="62">
        <f t="shared" si="1752"/>
        <v>4810.2</v>
      </c>
      <c r="EQ120" s="62">
        <f t="shared" si="1752"/>
        <v>2084.42</v>
      </c>
      <c r="ER120" s="62">
        <f t="shared" si="1752"/>
        <v>2084.42</v>
      </c>
      <c r="ES120" s="62">
        <f t="shared" si="1753"/>
        <v>3046.46</v>
      </c>
      <c r="ET120" s="62">
        <f t="shared" si="1753"/>
        <v>4810.2</v>
      </c>
      <c r="EU120" s="62">
        <f t="shared" si="1753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54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 t="shared" si="1034"/>
        <v>1</v>
      </c>
      <c r="FS120" s="103" t="b">
        <f t="shared" si="1035"/>
        <v>0</v>
      </c>
      <c r="FT120" s="103" t="b">
        <f t="shared" si="1036"/>
        <v>1</v>
      </c>
      <c r="FU120" s="103" t="b">
        <f t="shared" si="1037"/>
        <v>0</v>
      </c>
      <c r="FV120" s="103" t="b">
        <f t="shared" si="1038"/>
        <v>1</v>
      </c>
      <c r="FW120" s="104" t="b">
        <f t="shared" si="1094"/>
        <v>0</v>
      </c>
      <c r="FX120" s="120" t="b">
        <f t="shared" si="1755"/>
        <v>1</v>
      </c>
      <c r="FY120" s="104" t="s">
        <v>214</v>
      </c>
      <c r="FZ120" s="104" t="b">
        <f t="shared" si="1756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57"/>
        <v>1</v>
      </c>
      <c r="GI120" s="8" t="b">
        <f t="shared" si="1758"/>
        <v>0</v>
      </c>
    </row>
    <row r="121" spans="1:191" s="31" customFormat="1" hidden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99"/>
        <v>нет минмакс</v>
      </c>
      <c r="Q121" s="95">
        <v>500</v>
      </c>
      <c r="R121" s="95">
        <f t="shared" si="1700"/>
        <v>316925</v>
      </c>
      <c r="S121" s="94">
        <v>0</v>
      </c>
      <c r="T121" s="94">
        <v>0</v>
      </c>
      <c r="U121" s="94">
        <f t="shared" si="1701"/>
        <v>0</v>
      </c>
      <c r="V121" s="94">
        <f t="shared" si="1702"/>
        <v>500</v>
      </c>
      <c r="W121" s="94">
        <f t="shared" si="1703"/>
        <v>316925</v>
      </c>
      <c r="X121" s="94">
        <f t="shared" si="1704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705"/>
        <v>0</v>
      </c>
      <c r="AF121" s="95">
        <f t="shared" si="1706"/>
        <v>0</v>
      </c>
      <c r="AG121" s="96">
        <v>0</v>
      </c>
      <c r="AH121" s="95">
        <f t="shared" si="1707"/>
        <v>500</v>
      </c>
      <c r="AI121" s="94">
        <f t="shared" si="1708"/>
        <v>316925</v>
      </c>
      <c r="AJ121" s="94">
        <f t="shared" si="1709"/>
        <v>1200</v>
      </c>
      <c r="AK121" s="94">
        <f t="shared" si="1710"/>
        <v>1200</v>
      </c>
      <c r="AL121" s="94">
        <f t="shared" si="1711"/>
        <v>3472</v>
      </c>
      <c r="AM121" s="94">
        <f t="shared" si="1712"/>
        <v>4200</v>
      </c>
      <c r="AN121" s="94">
        <f t="shared" si="1713"/>
        <v>0</v>
      </c>
      <c r="AO121" s="94" t="str">
        <f t="shared" si="1714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15"/>
        <v>0-01</v>
      </c>
      <c r="AW121" s="98">
        <f t="shared" si="1716"/>
        <v>0</v>
      </c>
      <c r="AX121" s="93"/>
      <c r="AY121" s="94">
        <f t="shared" si="1717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18"/>
        <v>0</v>
      </c>
      <c r="BG121" s="29">
        <v>0</v>
      </c>
      <c r="BH121" s="29">
        <f t="shared" si="1719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20"/>
        <v>700</v>
      </c>
      <c r="BR121" s="95">
        <f t="shared" si="1721"/>
        <v>-400</v>
      </c>
      <c r="BS121" s="95">
        <f t="shared" si="1722"/>
        <v>-700</v>
      </c>
      <c r="BT121" s="95">
        <f t="shared" si="1722"/>
        <v>-1000</v>
      </c>
      <c r="BU121" s="95">
        <f t="shared" si="1722"/>
        <v>-1900</v>
      </c>
      <c r="BV121" s="95">
        <f t="shared" si="1722"/>
        <v>-2800</v>
      </c>
      <c r="BW121" s="95">
        <f t="shared" si="1722"/>
        <v>-3700</v>
      </c>
      <c r="BX121" s="95">
        <f t="shared" si="1760"/>
        <v>-4400</v>
      </c>
      <c r="BY121" s="95">
        <f t="shared" si="1760"/>
        <v>-5100</v>
      </c>
      <c r="BZ121" s="95">
        <f t="shared" si="1760"/>
        <v>-5800</v>
      </c>
      <c r="CA121" s="95">
        <f t="shared" si="1760"/>
        <v>-6500</v>
      </c>
      <c r="CB121" s="95">
        <f t="shared" si="1760"/>
        <v>-7200</v>
      </c>
      <c r="CC121" s="95">
        <f t="shared" si="1760"/>
        <v>-7900</v>
      </c>
      <c r="CD121" s="95">
        <f t="shared" si="1760"/>
        <v>-8600</v>
      </c>
      <c r="CE121" s="95">
        <f t="shared" si="1760"/>
        <v>-9300</v>
      </c>
      <c r="CF121" s="95">
        <f t="shared" si="1760"/>
        <v>-10000</v>
      </c>
      <c r="CG121" s="95">
        <f t="shared" si="1760"/>
        <v>-10700</v>
      </c>
      <c r="CH121" s="95">
        <f t="shared" si="1760"/>
        <v>-11400</v>
      </c>
      <c r="CI121" s="95">
        <f t="shared" si="1760"/>
        <v>-12100</v>
      </c>
      <c r="CJ121" s="95">
        <f t="shared" si="1760"/>
        <v>-12800</v>
      </c>
      <c r="CK121" s="95">
        <f t="shared" si="1760"/>
        <v>-13500</v>
      </c>
      <c r="CL121" s="95">
        <f t="shared" si="1760"/>
        <v>-14200</v>
      </c>
      <c r="CM121" s="95">
        <f t="shared" si="1760"/>
        <v>-14900</v>
      </c>
      <c r="CN121" s="95">
        <f t="shared" si="1760"/>
        <v>-15600</v>
      </c>
      <c r="CO121" s="95">
        <f t="shared" si="1760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25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26"/>
        <v>0</v>
      </c>
      <c r="DB121" s="62">
        <f t="shared" si="1727"/>
        <v>1140930</v>
      </c>
      <c r="DC121" s="62">
        <f t="shared" si="1728"/>
        <v>0</v>
      </c>
      <c r="DD121" s="102">
        <f t="shared" si="1729"/>
        <v>0</v>
      </c>
      <c r="DE121" s="31">
        <v>0</v>
      </c>
      <c r="DG121" s="31">
        <v>0</v>
      </c>
      <c r="DH121" s="48">
        <f t="shared" si="1730"/>
        <v>0</v>
      </c>
      <c r="DI121" s="62">
        <v>24.645</v>
      </c>
      <c r="DJ121" s="62">
        <v>17809.108</v>
      </c>
      <c r="DK121" s="48">
        <f t="shared" si="1731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32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33"/>
        <v>0</v>
      </c>
      <c r="DV121" s="62">
        <v>0</v>
      </c>
      <c r="DW121" s="62">
        <v>0</v>
      </c>
      <c r="DX121" s="62">
        <f t="shared" si="1734"/>
        <v>0</v>
      </c>
      <c r="DY121" s="62">
        <f t="shared" si="1735"/>
        <v>0</v>
      </c>
      <c r="DZ121" s="48">
        <f t="shared" si="1736"/>
        <v>0</v>
      </c>
      <c r="EA121" s="62">
        <f t="shared" si="1737"/>
        <v>0</v>
      </c>
      <c r="EB121" s="62">
        <f t="shared" si="1738"/>
        <v>0</v>
      </c>
      <c r="EC121" s="48">
        <f t="shared" si="1739"/>
        <v>0</v>
      </c>
      <c r="ED121" s="62">
        <f t="shared" si="1740"/>
        <v>0</v>
      </c>
      <c r="EE121" s="62">
        <f t="shared" si="1741"/>
        <v>0</v>
      </c>
      <c r="EF121" s="48">
        <f t="shared" si="1742"/>
        <v>0</v>
      </c>
      <c r="EG121" s="62">
        <f t="shared" si="1743"/>
        <v>0</v>
      </c>
      <c r="EH121" s="62">
        <f t="shared" si="1744"/>
        <v>0</v>
      </c>
      <c r="EI121" s="48">
        <f t="shared" si="1745"/>
        <v>0</v>
      </c>
      <c r="EJ121" s="62">
        <f t="shared" si="1746"/>
        <v>0</v>
      </c>
      <c r="EK121" s="62">
        <f t="shared" si="1747"/>
        <v>0</v>
      </c>
      <c r="EL121" s="48">
        <f t="shared" si="1748"/>
        <v>0</v>
      </c>
      <c r="EM121" s="62">
        <f t="shared" si="1749"/>
        <v>0</v>
      </c>
      <c r="EN121" s="62">
        <f t="shared" si="1750"/>
        <v>0</v>
      </c>
      <c r="EO121" s="48">
        <f t="shared" si="1751"/>
        <v>0</v>
      </c>
      <c r="EP121" s="62">
        <f t="shared" si="1752"/>
        <v>570465</v>
      </c>
      <c r="EQ121" s="62">
        <f t="shared" si="1752"/>
        <v>190155</v>
      </c>
      <c r="ER121" s="62">
        <f t="shared" si="1752"/>
        <v>190155</v>
      </c>
      <c r="ES121" s="62">
        <f t="shared" si="1753"/>
        <v>570465</v>
      </c>
      <c r="ET121" s="62">
        <f t="shared" si="1753"/>
        <v>570465</v>
      </c>
      <c r="EU121" s="62">
        <f t="shared" si="1753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54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 t="shared" si="1034"/>
        <v>0</v>
      </c>
      <c r="FS121" s="104" t="b">
        <f t="shared" si="1035"/>
        <v>0</v>
      </c>
      <c r="FT121" s="104" t="b">
        <f t="shared" si="1036"/>
        <v>0</v>
      </c>
      <c r="FU121" s="104" t="b">
        <f t="shared" si="1037"/>
        <v>0</v>
      </c>
      <c r="FV121" s="104" t="b">
        <f t="shared" si="1038"/>
        <v>1</v>
      </c>
      <c r="FW121" s="104" t="b">
        <f t="shared" si="1094"/>
        <v>0</v>
      </c>
      <c r="FX121" s="104" t="b">
        <f t="shared" si="1755"/>
        <v>1</v>
      </c>
      <c r="FY121" s="104" t="s">
        <v>214</v>
      </c>
      <c r="FZ121" s="104" t="b">
        <f t="shared" si="1756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57"/>
        <v>1</v>
      </c>
      <c r="GI121" s="108" t="b">
        <f t="shared" si="1758"/>
        <v>0</v>
      </c>
    </row>
    <row r="122" spans="1:191" s="31" customFormat="1" hidden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99"/>
        <v>нет минмакс</v>
      </c>
      <c r="Q122" s="95">
        <v>4011</v>
      </c>
      <c r="R122" s="95">
        <f t="shared" si="1700"/>
        <v>44121</v>
      </c>
      <c r="S122" s="112">
        <v>5724</v>
      </c>
      <c r="T122" s="112">
        <v>62964</v>
      </c>
      <c r="U122" s="112">
        <f t="shared" si="1701"/>
        <v>0</v>
      </c>
      <c r="V122" s="113">
        <f t="shared" si="1702"/>
        <v>4011</v>
      </c>
      <c r="W122" s="113">
        <f t="shared" si="1703"/>
        <v>44121</v>
      </c>
      <c r="X122" s="113">
        <f t="shared" si="1704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705"/>
        <v>0</v>
      </c>
      <c r="AF122" s="95">
        <f t="shared" si="1706"/>
        <v>0</v>
      </c>
      <c r="AG122" s="114">
        <v>0</v>
      </c>
      <c r="AH122" s="95">
        <f t="shared" si="1707"/>
        <v>4011</v>
      </c>
      <c r="AI122" s="115">
        <f t="shared" si="1708"/>
        <v>44121</v>
      </c>
      <c r="AJ122" s="95">
        <f t="shared" si="1709"/>
        <v>1713</v>
      </c>
      <c r="AK122" s="95">
        <f t="shared" si="1710"/>
        <v>1713</v>
      </c>
      <c r="AL122" s="95">
        <f t="shared" si="1711"/>
        <v>2503</v>
      </c>
      <c r="AM122" s="95">
        <f t="shared" si="1712"/>
        <v>5220</v>
      </c>
      <c r="AN122" s="95">
        <f t="shared" si="1713"/>
        <v>131.58620689655172</v>
      </c>
      <c r="AO122" s="95" t="str">
        <f t="shared" si="1714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15"/>
        <v>0-05</v>
      </c>
      <c r="AW122" s="117">
        <f t="shared" si="1716"/>
        <v>0</v>
      </c>
      <c r="AX122" s="118"/>
      <c r="AY122" s="25">
        <f t="shared" si="1717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18"/>
        <v>0</v>
      </c>
      <c r="BG122" s="29">
        <v>0</v>
      </c>
      <c r="BH122" s="29">
        <f t="shared" si="1719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20"/>
        <v>1305</v>
      </c>
      <c r="BR122" s="95">
        <f t="shared" si="1721"/>
        <v>2571</v>
      </c>
      <c r="BS122" s="95">
        <f t="shared" si="1722"/>
        <v>2571</v>
      </c>
      <c r="BT122" s="95">
        <f t="shared" si="1722"/>
        <v>2571</v>
      </c>
      <c r="BU122" s="95">
        <f t="shared" si="1722"/>
        <v>1131</v>
      </c>
      <c r="BV122" s="95">
        <f t="shared" si="1722"/>
        <v>-309</v>
      </c>
      <c r="BW122" s="95">
        <f t="shared" si="1722"/>
        <v>-1209</v>
      </c>
      <c r="BX122" s="95">
        <f t="shared" si="1760"/>
        <v>-2514</v>
      </c>
      <c r="BY122" s="95">
        <f t="shared" si="1760"/>
        <v>-3819</v>
      </c>
      <c r="BZ122" s="95">
        <f t="shared" si="1760"/>
        <v>-5124</v>
      </c>
      <c r="CA122" s="95">
        <f t="shared" si="1760"/>
        <v>-6429</v>
      </c>
      <c r="CB122" s="95">
        <f t="shared" si="1760"/>
        <v>-7734</v>
      </c>
      <c r="CC122" s="95">
        <f t="shared" si="1760"/>
        <v>-9039</v>
      </c>
      <c r="CD122" s="95">
        <f t="shared" si="1760"/>
        <v>-10344</v>
      </c>
      <c r="CE122" s="95">
        <f t="shared" si="1760"/>
        <v>-11649</v>
      </c>
      <c r="CF122" s="95">
        <f t="shared" si="1760"/>
        <v>-12954</v>
      </c>
      <c r="CG122" s="95">
        <f t="shared" si="1760"/>
        <v>-14259</v>
      </c>
      <c r="CH122" s="95">
        <f t="shared" si="1760"/>
        <v>-15564</v>
      </c>
      <c r="CI122" s="95">
        <f t="shared" si="1760"/>
        <v>-16869</v>
      </c>
      <c r="CJ122" s="95">
        <f t="shared" si="1760"/>
        <v>-18174</v>
      </c>
      <c r="CK122" s="95">
        <f t="shared" si="1760"/>
        <v>-19479</v>
      </c>
      <c r="CL122" s="95">
        <f t="shared" si="1760"/>
        <v>-20784</v>
      </c>
      <c r="CM122" s="95">
        <f t="shared" si="1760"/>
        <v>-22089</v>
      </c>
      <c r="CN122" s="95">
        <f t="shared" si="1760"/>
        <v>-23394</v>
      </c>
      <c r="CO122" s="95">
        <f t="shared" si="1760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25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26"/>
        <v>0</v>
      </c>
      <c r="DB122" s="62">
        <f t="shared" si="1727"/>
        <v>0</v>
      </c>
      <c r="DC122" s="62">
        <f t="shared" si="1728"/>
        <v>0</v>
      </c>
      <c r="DD122" s="102">
        <f t="shared" si="1729"/>
        <v>0</v>
      </c>
      <c r="DE122" s="31">
        <v>0</v>
      </c>
      <c r="DF122" s="31">
        <v>90</v>
      </c>
      <c r="DG122" s="31">
        <v>0</v>
      </c>
      <c r="DH122" s="48">
        <f t="shared" si="1730"/>
        <v>0</v>
      </c>
      <c r="DI122" s="62">
        <v>6489.0319999999992</v>
      </c>
      <c r="DJ122" s="62">
        <v>71368.546000000002</v>
      </c>
      <c r="DK122" s="48">
        <f t="shared" si="1731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32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33"/>
        <v>0</v>
      </c>
      <c r="DV122" s="62">
        <v>0</v>
      </c>
      <c r="DW122" s="62">
        <v>0</v>
      </c>
      <c r="DX122" s="62">
        <f t="shared" si="1734"/>
        <v>4320</v>
      </c>
      <c r="DY122" s="62">
        <f t="shared" si="1735"/>
        <v>47520</v>
      </c>
      <c r="DZ122" s="48">
        <f t="shared" si="1736"/>
        <v>0</v>
      </c>
      <c r="EA122" s="62">
        <f t="shared" si="1737"/>
        <v>0</v>
      </c>
      <c r="EB122" s="62">
        <f t="shared" si="1738"/>
        <v>0</v>
      </c>
      <c r="EC122" s="48">
        <f t="shared" si="1739"/>
        <v>0</v>
      </c>
      <c r="ED122" s="62">
        <f t="shared" si="1740"/>
        <v>0</v>
      </c>
      <c r="EE122" s="62">
        <f t="shared" si="1741"/>
        <v>0</v>
      </c>
      <c r="EF122" s="48">
        <f t="shared" si="1742"/>
        <v>0</v>
      </c>
      <c r="EG122" s="62">
        <f t="shared" si="1743"/>
        <v>4320</v>
      </c>
      <c r="EH122" s="62">
        <f t="shared" si="1744"/>
        <v>47520</v>
      </c>
      <c r="EI122" s="48">
        <f t="shared" si="1745"/>
        <v>0</v>
      </c>
      <c r="EJ122" s="62">
        <f t="shared" si="1746"/>
        <v>4320</v>
      </c>
      <c r="EK122" s="62">
        <f t="shared" si="1747"/>
        <v>47520</v>
      </c>
      <c r="EL122" s="48">
        <f t="shared" si="1748"/>
        <v>0</v>
      </c>
      <c r="EM122" s="62">
        <f t="shared" si="1749"/>
        <v>2700</v>
      </c>
      <c r="EN122" s="62">
        <f t="shared" si="1750"/>
        <v>29700</v>
      </c>
      <c r="EO122" s="48">
        <f t="shared" si="1751"/>
        <v>0</v>
      </c>
      <c r="EP122" s="62">
        <f t="shared" si="1752"/>
        <v>15840</v>
      </c>
      <c r="EQ122" s="62">
        <f t="shared" si="1752"/>
        <v>0</v>
      </c>
      <c r="ER122" s="62">
        <f t="shared" si="1752"/>
        <v>0</v>
      </c>
      <c r="ES122" s="62">
        <f t="shared" si="1753"/>
        <v>15840</v>
      </c>
      <c r="ET122" s="62">
        <f t="shared" si="1753"/>
        <v>15840</v>
      </c>
      <c r="EU122" s="62">
        <f t="shared" si="1753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54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 t="shared" si="1034"/>
        <v>1</v>
      </c>
      <c r="FS122" s="103" t="b">
        <f t="shared" si="1035"/>
        <v>0</v>
      </c>
      <c r="FT122" s="103" t="b">
        <f t="shared" si="1036"/>
        <v>1</v>
      </c>
      <c r="FU122" s="103" t="b">
        <f t="shared" si="1037"/>
        <v>0</v>
      </c>
      <c r="FV122" s="103" t="b">
        <f t="shared" si="1038"/>
        <v>1</v>
      </c>
      <c r="FW122" s="104" t="b">
        <f t="shared" si="1094"/>
        <v>0</v>
      </c>
      <c r="FX122" s="120" t="b">
        <f t="shared" si="1755"/>
        <v>1</v>
      </c>
      <c r="FY122" s="104" t="s">
        <v>214</v>
      </c>
      <c r="FZ122" s="104" t="b">
        <f t="shared" si="1756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57"/>
        <v>1</v>
      </c>
      <c r="GI122" s="8" t="b">
        <f t="shared" si="1758"/>
        <v>0</v>
      </c>
    </row>
    <row r="123" spans="1:191" s="31" customFormat="1" hidden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99"/>
        <v>нет минмакс</v>
      </c>
      <c r="Q123" s="95">
        <v>4016</v>
      </c>
      <c r="R123" s="95">
        <f t="shared" si="1700"/>
        <v>44135.840000000004</v>
      </c>
      <c r="S123" s="112">
        <v>5722</v>
      </c>
      <c r="T123" s="112">
        <v>62884.78</v>
      </c>
      <c r="U123" s="112">
        <f t="shared" si="1701"/>
        <v>0</v>
      </c>
      <c r="V123" s="113">
        <f t="shared" si="1702"/>
        <v>4016</v>
      </c>
      <c r="W123" s="113">
        <f t="shared" si="1703"/>
        <v>44135.840000000004</v>
      </c>
      <c r="X123" s="113">
        <f t="shared" si="1704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705"/>
        <v>0</v>
      </c>
      <c r="AF123" s="95">
        <f t="shared" si="1706"/>
        <v>0</v>
      </c>
      <c r="AG123" s="114">
        <v>0</v>
      </c>
      <c r="AH123" s="95">
        <f t="shared" si="1707"/>
        <v>4016</v>
      </c>
      <c r="AI123" s="115">
        <f t="shared" si="1708"/>
        <v>44135.840000000004</v>
      </c>
      <c r="AJ123" s="95">
        <f t="shared" si="1709"/>
        <v>1706</v>
      </c>
      <c r="AK123" s="95">
        <f t="shared" si="1710"/>
        <v>1706</v>
      </c>
      <c r="AL123" s="95">
        <f t="shared" si="1711"/>
        <v>2493</v>
      </c>
      <c r="AM123" s="95">
        <f t="shared" si="1712"/>
        <v>5220</v>
      </c>
      <c r="AN123" s="95">
        <f t="shared" si="1713"/>
        <v>131.54022988505747</v>
      </c>
      <c r="AO123" s="95" t="str">
        <f t="shared" si="1714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15"/>
        <v>0-05</v>
      </c>
      <c r="AW123" s="117">
        <f t="shared" si="1716"/>
        <v>0</v>
      </c>
      <c r="AX123" s="118"/>
      <c r="AY123" s="25">
        <f t="shared" si="1717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18"/>
        <v>0</v>
      </c>
      <c r="BG123" s="29">
        <v>0</v>
      </c>
      <c r="BH123" s="29">
        <f t="shared" si="1719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20"/>
        <v>1305</v>
      </c>
      <c r="BR123" s="95">
        <f t="shared" si="1721"/>
        <v>2576</v>
      </c>
      <c r="BS123" s="95">
        <f t="shared" si="1722"/>
        <v>2576</v>
      </c>
      <c r="BT123" s="95">
        <f t="shared" si="1722"/>
        <v>2576</v>
      </c>
      <c r="BU123" s="95">
        <f t="shared" si="1722"/>
        <v>1136</v>
      </c>
      <c r="BV123" s="95">
        <f t="shared" si="1722"/>
        <v>-304</v>
      </c>
      <c r="BW123" s="95">
        <f t="shared" si="1722"/>
        <v>-1204</v>
      </c>
      <c r="BX123" s="95">
        <f t="shared" si="1760"/>
        <v>-2509</v>
      </c>
      <c r="BY123" s="95">
        <f t="shared" si="1760"/>
        <v>-3814</v>
      </c>
      <c r="BZ123" s="95">
        <f t="shared" si="1760"/>
        <v>-5119</v>
      </c>
      <c r="CA123" s="95">
        <f t="shared" si="1760"/>
        <v>-6424</v>
      </c>
      <c r="CB123" s="95">
        <f t="shared" si="1760"/>
        <v>-7729</v>
      </c>
      <c r="CC123" s="95">
        <f t="shared" si="1760"/>
        <v>-9034</v>
      </c>
      <c r="CD123" s="95">
        <f t="shared" si="1760"/>
        <v>-10339</v>
      </c>
      <c r="CE123" s="95">
        <f t="shared" si="1760"/>
        <v>-11644</v>
      </c>
      <c r="CF123" s="95">
        <f t="shared" si="1760"/>
        <v>-12949</v>
      </c>
      <c r="CG123" s="95">
        <f t="shared" si="1760"/>
        <v>-14254</v>
      </c>
      <c r="CH123" s="95">
        <f t="shared" si="1760"/>
        <v>-15559</v>
      </c>
      <c r="CI123" s="95">
        <f t="shared" si="1760"/>
        <v>-16864</v>
      </c>
      <c r="CJ123" s="95">
        <f t="shared" si="1760"/>
        <v>-18169</v>
      </c>
      <c r="CK123" s="95">
        <f t="shared" si="1760"/>
        <v>-19474</v>
      </c>
      <c r="CL123" s="95">
        <f t="shared" si="1760"/>
        <v>-20779</v>
      </c>
      <c r="CM123" s="95">
        <f t="shared" si="1760"/>
        <v>-22084</v>
      </c>
      <c r="CN123" s="95">
        <f t="shared" si="1760"/>
        <v>-23389</v>
      </c>
      <c r="CO123" s="95">
        <f t="shared" si="1760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25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26"/>
        <v>0</v>
      </c>
      <c r="DB123" s="62">
        <f t="shared" si="1727"/>
        <v>0</v>
      </c>
      <c r="DC123" s="62">
        <f t="shared" si="1728"/>
        <v>0</v>
      </c>
      <c r="DD123" s="102">
        <f t="shared" si="1729"/>
        <v>0</v>
      </c>
      <c r="DE123" s="31">
        <v>0</v>
      </c>
      <c r="DF123" s="31">
        <v>90</v>
      </c>
      <c r="DG123" s="31">
        <v>0</v>
      </c>
      <c r="DH123" s="48">
        <f t="shared" si="1730"/>
        <v>0</v>
      </c>
      <c r="DI123" s="62">
        <v>6484.0320000000002</v>
      </c>
      <c r="DJ123" s="62">
        <v>71284.39899999999</v>
      </c>
      <c r="DK123" s="48">
        <f t="shared" si="1731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32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33"/>
        <v>0</v>
      </c>
      <c r="DV123" s="62">
        <v>0</v>
      </c>
      <c r="DW123" s="62">
        <v>0</v>
      </c>
      <c r="DX123" s="62">
        <f t="shared" si="1734"/>
        <v>4320</v>
      </c>
      <c r="DY123" s="62">
        <f t="shared" si="1735"/>
        <v>47476.800000000003</v>
      </c>
      <c r="DZ123" s="48">
        <f t="shared" si="1736"/>
        <v>0</v>
      </c>
      <c r="EA123" s="62">
        <f t="shared" si="1737"/>
        <v>0</v>
      </c>
      <c r="EB123" s="62">
        <f t="shared" si="1738"/>
        <v>0</v>
      </c>
      <c r="EC123" s="48">
        <f t="shared" si="1739"/>
        <v>0</v>
      </c>
      <c r="ED123" s="62">
        <f t="shared" si="1740"/>
        <v>0</v>
      </c>
      <c r="EE123" s="62">
        <f t="shared" si="1741"/>
        <v>0</v>
      </c>
      <c r="EF123" s="48">
        <f t="shared" si="1742"/>
        <v>0</v>
      </c>
      <c r="EG123" s="62">
        <f t="shared" si="1743"/>
        <v>4320</v>
      </c>
      <c r="EH123" s="62">
        <f t="shared" si="1744"/>
        <v>47476.800000000003</v>
      </c>
      <c r="EI123" s="48">
        <f t="shared" si="1745"/>
        <v>0</v>
      </c>
      <c r="EJ123" s="62">
        <f t="shared" si="1746"/>
        <v>4320</v>
      </c>
      <c r="EK123" s="62">
        <f t="shared" si="1747"/>
        <v>47476.800000000003</v>
      </c>
      <c r="EL123" s="48">
        <f t="shared" si="1748"/>
        <v>0</v>
      </c>
      <c r="EM123" s="62">
        <f t="shared" si="1749"/>
        <v>2700</v>
      </c>
      <c r="EN123" s="62">
        <f t="shared" si="1750"/>
        <v>29673</v>
      </c>
      <c r="EO123" s="48">
        <f t="shared" si="1751"/>
        <v>0</v>
      </c>
      <c r="EP123" s="62">
        <f t="shared" si="1752"/>
        <v>15825.6</v>
      </c>
      <c r="EQ123" s="62">
        <f t="shared" si="1752"/>
        <v>0</v>
      </c>
      <c r="ER123" s="62">
        <f t="shared" si="1752"/>
        <v>0</v>
      </c>
      <c r="ES123" s="62">
        <f t="shared" si="1753"/>
        <v>15825.6</v>
      </c>
      <c r="ET123" s="62">
        <f t="shared" si="1753"/>
        <v>15825.6</v>
      </c>
      <c r="EU123" s="62">
        <f t="shared" si="1753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54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 t="shared" si="1034"/>
        <v>1</v>
      </c>
      <c r="FS123" s="103" t="b">
        <f t="shared" si="1035"/>
        <v>0</v>
      </c>
      <c r="FT123" s="103" t="b">
        <f t="shared" si="1036"/>
        <v>1</v>
      </c>
      <c r="FU123" s="103" t="b">
        <f t="shared" si="1037"/>
        <v>0</v>
      </c>
      <c r="FV123" s="103" t="b">
        <f t="shared" si="1038"/>
        <v>1</v>
      </c>
      <c r="FW123" s="104" t="b">
        <f t="shared" si="1094"/>
        <v>0</v>
      </c>
      <c r="FX123" s="120" t="b">
        <f t="shared" si="1755"/>
        <v>1</v>
      </c>
      <c r="FY123" s="104" t="s">
        <v>214</v>
      </c>
      <c r="FZ123" s="104" t="b">
        <f t="shared" si="1756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57"/>
        <v>1</v>
      </c>
      <c r="GI123" s="8" t="b">
        <f t="shared" si="1758"/>
        <v>0</v>
      </c>
    </row>
    <row r="124" spans="1:191" s="31" customFormat="1" hidden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99"/>
        <v>нет минмакс</v>
      </c>
      <c r="Q124" s="95">
        <v>515</v>
      </c>
      <c r="R124" s="95">
        <f t="shared" si="1700"/>
        <v>7287.25</v>
      </c>
      <c r="S124" s="112">
        <v>944</v>
      </c>
      <c r="T124" s="112">
        <v>13357.6</v>
      </c>
      <c r="U124" s="112">
        <f t="shared" si="1701"/>
        <v>0</v>
      </c>
      <c r="V124" s="113">
        <f t="shared" si="1702"/>
        <v>515</v>
      </c>
      <c r="W124" s="113">
        <f t="shared" si="1703"/>
        <v>7287.25</v>
      </c>
      <c r="X124" s="113">
        <f t="shared" si="1704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705"/>
        <v>0</v>
      </c>
      <c r="AF124" s="95">
        <f t="shared" si="1706"/>
        <v>0</v>
      </c>
      <c r="AG124" s="114">
        <v>0</v>
      </c>
      <c r="AH124" s="95">
        <f t="shared" si="1707"/>
        <v>515</v>
      </c>
      <c r="AI124" s="115">
        <f t="shared" si="1708"/>
        <v>7287.25</v>
      </c>
      <c r="AJ124" s="95">
        <f t="shared" si="1709"/>
        <v>429</v>
      </c>
      <c r="AK124" s="95">
        <f t="shared" si="1710"/>
        <v>429</v>
      </c>
      <c r="AL124" s="95">
        <f t="shared" si="1711"/>
        <v>624</v>
      </c>
      <c r="AM124" s="95">
        <f t="shared" si="1712"/>
        <v>1305</v>
      </c>
      <c r="AN124" s="95">
        <f t="shared" si="1713"/>
        <v>86.804597701149419</v>
      </c>
      <c r="AO124" s="95" t="str">
        <f t="shared" si="1714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15"/>
        <v>0-04</v>
      </c>
      <c r="AW124" s="117">
        <f t="shared" si="1716"/>
        <v>0</v>
      </c>
      <c r="AX124" s="118"/>
      <c r="AY124" s="25">
        <f t="shared" si="1717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18"/>
        <v>0</v>
      </c>
      <c r="BG124" s="29">
        <v>0</v>
      </c>
      <c r="BH124" s="29">
        <f t="shared" si="1719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20"/>
        <v>326.25</v>
      </c>
      <c r="BR124" s="95">
        <f t="shared" si="1721"/>
        <v>155</v>
      </c>
      <c r="BS124" s="95">
        <f t="shared" si="1722"/>
        <v>155</v>
      </c>
      <c r="BT124" s="95">
        <f t="shared" si="1722"/>
        <v>155</v>
      </c>
      <c r="BU124" s="95">
        <f t="shared" si="1722"/>
        <v>-205</v>
      </c>
      <c r="BV124" s="95">
        <f t="shared" si="1722"/>
        <v>-565</v>
      </c>
      <c r="BW124" s="95">
        <f t="shared" si="1722"/>
        <v>-790</v>
      </c>
      <c r="BX124" s="95">
        <f t="shared" si="1760"/>
        <v>-1116.25</v>
      </c>
      <c r="BY124" s="95">
        <f t="shared" si="1760"/>
        <v>-1442.5</v>
      </c>
      <c r="BZ124" s="95">
        <f t="shared" si="1760"/>
        <v>-1768.75</v>
      </c>
      <c r="CA124" s="95">
        <f t="shared" si="1760"/>
        <v>-2095</v>
      </c>
      <c r="CB124" s="95">
        <f t="shared" si="1760"/>
        <v>-2421.25</v>
      </c>
      <c r="CC124" s="95">
        <f t="shared" si="1760"/>
        <v>-2747.5</v>
      </c>
      <c r="CD124" s="95">
        <f t="shared" si="1760"/>
        <v>-3073.75</v>
      </c>
      <c r="CE124" s="95">
        <f t="shared" si="1760"/>
        <v>-3400</v>
      </c>
      <c r="CF124" s="95">
        <f t="shared" si="1760"/>
        <v>-3726.25</v>
      </c>
      <c r="CG124" s="95">
        <f t="shared" si="1760"/>
        <v>-4052.5</v>
      </c>
      <c r="CH124" s="95">
        <f t="shared" si="1760"/>
        <v>-4378.75</v>
      </c>
      <c r="CI124" s="95">
        <f t="shared" si="1760"/>
        <v>-4705</v>
      </c>
      <c r="CJ124" s="95">
        <f t="shared" si="1760"/>
        <v>-5031.25</v>
      </c>
      <c r="CK124" s="95">
        <f t="shared" si="1760"/>
        <v>-5357.5</v>
      </c>
      <c r="CL124" s="95">
        <f t="shared" si="1760"/>
        <v>-5683.75</v>
      </c>
      <c r="CM124" s="95">
        <f t="shared" si="1760"/>
        <v>-6010</v>
      </c>
      <c r="CN124" s="95">
        <f t="shared" si="1760"/>
        <v>-6336.25</v>
      </c>
      <c r="CO124" s="95">
        <f t="shared" si="1760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25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26"/>
        <v>0</v>
      </c>
      <c r="DB124" s="62">
        <f t="shared" si="1727"/>
        <v>0</v>
      </c>
      <c r="DC124" s="62">
        <f t="shared" si="1728"/>
        <v>0</v>
      </c>
      <c r="DD124" s="102">
        <f t="shared" si="1729"/>
        <v>0</v>
      </c>
      <c r="DE124" s="31">
        <v>0</v>
      </c>
      <c r="DF124" s="31">
        <v>90</v>
      </c>
      <c r="DG124" s="31">
        <v>0</v>
      </c>
      <c r="DH124" s="48">
        <f t="shared" si="1730"/>
        <v>0</v>
      </c>
      <c r="DI124" s="62">
        <v>1132.838</v>
      </c>
      <c r="DJ124" s="62">
        <v>16033.030999999999</v>
      </c>
      <c r="DK124" s="48">
        <f t="shared" si="1731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32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33"/>
        <v>0</v>
      </c>
      <c r="DV124" s="62">
        <v>0</v>
      </c>
      <c r="DW124" s="62">
        <v>0</v>
      </c>
      <c r="DX124" s="62">
        <f t="shared" si="1734"/>
        <v>1080</v>
      </c>
      <c r="DY124" s="62">
        <f t="shared" si="1735"/>
        <v>15282</v>
      </c>
      <c r="DZ124" s="48">
        <f t="shared" si="1736"/>
        <v>0</v>
      </c>
      <c r="EA124" s="62">
        <f t="shared" si="1737"/>
        <v>0</v>
      </c>
      <c r="EB124" s="62">
        <f t="shared" si="1738"/>
        <v>0</v>
      </c>
      <c r="EC124" s="48">
        <f t="shared" si="1739"/>
        <v>0</v>
      </c>
      <c r="ED124" s="62">
        <f t="shared" si="1740"/>
        <v>0</v>
      </c>
      <c r="EE124" s="62">
        <f t="shared" si="1741"/>
        <v>0</v>
      </c>
      <c r="EF124" s="48">
        <f t="shared" si="1742"/>
        <v>0</v>
      </c>
      <c r="EG124" s="62">
        <f t="shared" si="1743"/>
        <v>1080</v>
      </c>
      <c r="EH124" s="62">
        <f t="shared" si="1744"/>
        <v>15282</v>
      </c>
      <c r="EI124" s="48">
        <f t="shared" si="1745"/>
        <v>0</v>
      </c>
      <c r="EJ124" s="62">
        <f t="shared" si="1746"/>
        <v>1080</v>
      </c>
      <c r="EK124" s="62">
        <f t="shared" si="1747"/>
        <v>15282</v>
      </c>
      <c r="EL124" s="48">
        <f t="shared" si="1748"/>
        <v>0</v>
      </c>
      <c r="EM124" s="62">
        <f t="shared" si="1749"/>
        <v>675</v>
      </c>
      <c r="EN124" s="62">
        <f t="shared" si="1750"/>
        <v>9551.25</v>
      </c>
      <c r="EO124" s="48">
        <f t="shared" si="1751"/>
        <v>0</v>
      </c>
      <c r="EP124" s="62">
        <f t="shared" si="1752"/>
        <v>5094</v>
      </c>
      <c r="EQ124" s="62">
        <f t="shared" si="1752"/>
        <v>0</v>
      </c>
      <c r="ER124" s="62">
        <f t="shared" si="1752"/>
        <v>0</v>
      </c>
      <c r="ES124" s="62">
        <f t="shared" si="1753"/>
        <v>5094</v>
      </c>
      <c r="ET124" s="62">
        <f t="shared" si="1753"/>
        <v>5094</v>
      </c>
      <c r="EU124" s="62">
        <f t="shared" si="1753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54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 t="shared" si="1034"/>
        <v>1</v>
      </c>
      <c r="FS124" s="103" t="b">
        <f t="shared" si="1035"/>
        <v>0</v>
      </c>
      <c r="FT124" s="103" t="b">
        <f t="shared" si="1036"/>
        <v>1</v>
      </c>
      <c r="FU124" s="103" t="b">
        <f t="shared" si="1037"/>
        <v>0</v>
      </c>
      <c r="FV124" s="103" t="b">
        <f t="shared" si="1038"/>
        <v>1</v>
      </c>
      <c r="FW124" s="104" t="b">
        <f t="shared" si="1094"/>
        <v>0</v>
      </c>
      <c r="FX124" s="120" t="b">
        <f t="shared" si="1755"/>
        <v>1</v>
      </c>
      <c r="FY124" s="104" t="s">
        <v>214</v>
      </c>
      <c r="FZ124" s="104" t="b">
        <f t="shared" si="1756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57"/>
        <v>1</v>
      </c>
      <c r="GI124" s="8" t="b">
        <f t="shared" si="1758"/>
        <v>0</v>
      </c>
    </row>
    <row r="125" spans="1:191" s="31" customFormat="1" hidden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99"/>
        <v>нет минмакс</v>
      </c>
      <c r="Q125" s="95">
        <v>0</v>
      </c>
      <c r="R125" s="95">
        <f t="shared" si="1700"/>
        <v>0</v>
      </c>
      <c r="S125" s="94">
        <v>0</v>
      </c>
      <c r="T125" s="94">
        <v>0</v>
      </c>
      <c r="U125" s="94">
        <f t="shared" si="1701"/>
        <v>0</v>
      </c>
      <c r="V125" s="94">
        <f t="shared" si="1702"/>
        <v>2484</v>
      </c>
      <c r="W125" s="94">
        <f t="shared" si="1703"/>
        <v>479113.92</v>
      </c>
      <c r="X125" s="94">
        <f t="shared" si="1704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705"/>
        <v>0</v>
      </c>
      <c r="AF125" s="95">
        <f t="shared" si="1706"/>
        <v>0</v>
      </c>
      <c r="AG125" s="96">
        <v>9500</v>
      </c>
      <c r="AH125" s="95">
        <f t="shared" si="1707"/>
        <v>-7016</v>
      </c>
      <c r="AI125" s="94">
        <f t="shared" si="1708"/>
        <v>0</v>
      </c>
      <c r="AJ125" s="94">
        <f t="shared" si="1709"/>
        <v>4920</v>
      </c>
      <c r="AK125" s="94">
        <f t="shared" si="1710"/>
        <v>11436</v>
      </c>
      <c r="AL125" s="94">
        <f t="shared" si="1711"/>
        <v>11436</v>
      </c>
      <c r="AM125" s="94">
        <f t="shared" si="1712"/>
        <v>12000</v>
      </c>
      <c r="AN125" s="94">
        <f t="shared" si="1713"/>
        <v>0</v>
      </c>
      <c r="AO125" s="94" t="str">
        <f t="shared" si="1714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15"/>
        <v>0-02</v>
      </c>
      <c r="AW125" s="98">
        <f t="shared" si="1716"/>
        <v>0</v>
      </c>
      <c r="AX125" s="93"/>
      <c r="AY125" s="94">
        <f t="shared" si="1717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18"/>
        <v>0</v>
      </c>
      <c r="BG125" s="29">
        <v>0</v>
      </c>
      <c r="BH125" s="29">
        <f t="shared" si="1719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20"/>
        <v>2000</v>
      </c>
      <c r="BR125" s="95">
        <f t="shared" si="1721"/>
        <v>484</v>
      </c>
      <c r="BS125" s="95">
        <f t="shared" si="1722"/>
        <v>-1516</v>
      </c>
      <c r="BT125" s="95">
        <f t="shared" si="1722"/>
        <v>-3516</v>
      </c>
      <c r="BU125" s="95">
        <f t="shared" si="1722"/>
        <v>-5516</v>
      </c>
      <c r="BV125" s="95">
        <f t="shared" si="1722"/>
        <v>-7516</v>
      </c>
      <c r="BW125" s="95">
        <f t="shared" si="1722"/>
        <v>-9516</v>
      </c>
      <c r="BX125" s="95">
        <f t="shared" si="1760"/>
        <v>-11516</v>
      </c>
      <c r="BY125" s="95">
        <f t="shared" si="1760"/>
        <v>-13516</v>
      </c>
      <c r="BZ125" s="95">
        <f t="shared" si="1760"/>
        <v>-15516</v>
      </c>
      <c r="CA125" s="95">
        <f t="shared" si="1760"/>
        <v>-17516</v>
      </c>
      <c r="CB125" s="95">
        <f t="shared" si="1760"/>
        <v>-19516</v>
      </c>
      <c r="CC125" s="95">
        <f t="shared" si="1760"/>
        <v>-21516</v>
      </c>
      <c r="CD125" s="95">
        <f t="shared" si="1760"/>
        <v>-23516</v>
      </c>
      <c r="CE125" s="95">
        <f t="shared" si="1760"/>
        <v>-25516</v>
      </c>
      <c r="CF125" s="95">
        <f t="shared" si="1760"/>
        <v>-27516</v>
      </c>
      <c r="CG125" s="95">
        <f t="shared" si="1760"/>
        <v>-29516</v>
      </c>
      <c r="CH125" s="95">
        <f t="shared" si="1760"/>
        <v>-31516</v>
      </c>
      <c r="CI125" s="95">
        <f t="shared" si="1760"/>
        <v>-33516</v>
      </c>
      <c r="CJ125" s="95">
        <f t="shared" si="1760"/>
        <v>-35516</v>
      </c>
      <c r="CK125" s="95">
        <f t="shared" si="1760"/>
        <v>-37516</v>
      </c>
      <c r="CL125" s="95">
        <f t="shared" si="1760"/>
        <v>-39516</v>
      </c>
      <c r="CM125" s="95">
        <f t="shared" si="1760"/>
        <v>-41516</v>
      </c>
      <c r="CN125" s="95">
        <f t="shared" si="1760"/>
        <v>-43516</v>
      </c>
      <c r="CO125" s="95">
        <f t="shared" si="1760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25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26"/>
        <v>0</v>
      </c>
      <c r="DB125" s="62">
        <f t="shared" si="1727"/>
        <v>0</v>
      </c>
      <c r="DC125" s="62">
        <f t="shared" si="1728"/>
        <v>483743.04</v>
      </c>
      <c r="DD125" s="102">
        <f t="shared" si="1729"/>
        <v>0</v>
      </c>
      <c r="DE125" s="31">
        <v>0</v>
      </c>
      <c r="DG125" s="31">
        <v>0</v>
      </c>
      <c r="DH125" s="48">
        <f t="shared" si="1730"/>
        <v>0</v>
      </c>
      <c r="DI125" s="62">
        <v>0</v>
      </c>
      <c r="DJ125" s="62">
        <v>0</v>
      </c>
      <c r="DK125" s="48">
        <f t="shared" si="1731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32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33"/>
        <v>1</v>
      </c>
      <c r="DV125" s="62">
        <v>2508</v>
      </c>
      <c r="DW125" s="62">
        <v>555588.80000000005</v>
      </c>
      <c r="DX125" s="62">
        <f t="shared" si="1734"/>
        <v>0</v>
      </c>
      <c r="DY125" s="62">
        <f t="shared" si="1735"/>
        <v>0</v>
      </c>
      <c r="DZ125" s="48">
        <f t="shared" si="1736"/>
        <v>0</v>
      </c>
      <c r="EA125" s="62">
        <f t="shared" si="1737"/>
        <v>0</v>
      </c>
      <c r="EB125" s="62">
        <f t="shared" si="1738"/>
        <v>0</v>
      </c>
      <c r="EC125" s="48">
        <f t="shared" si="1739"/>
        <v>0</v>
      </c>
      <c r="ED125" s="62">
        <f t="shared" si="1740"/>
        <v>0</v>
      </c>
      <c r="EE125" s="62">
        <f t="shared" si="1741"/>
        <v>0</v>
      </c>
      <c r="EF125" s="48">
        <f t="shared" si="1742"/>
        <v>0</v>
      </c>
      <c r="EG125" s="62">
        <f t="shared" si="1743"/>
        <v>0</v>
      </c>
      <c r="EH125" s="62">
        <f t="shared" si="1744"/>
        <v>0</v>
      </c>
      <c r="EI125" s="48">
        <f t="shared" si="1745"/>
        <v>0</v>
      </c>
      <c r="EJ125" s="62">
        <f t="shared" si="1746"/>
        <v>0</v>
      </c>
      <c r="EK125" s="62">
        <f t="shared" si="1747"/>
        <v>0</v>
      </c>
      <c r="EL125" s="48">
        <f t="shared" si="1748"/>
        <v>0</v>
      </c>
      <c r="EM125" s="62">
        <f t="shared" si="1749"/>
        <v>0</v>
      </c>
      <c r="EN125" s="62">
        <f t="shared" si="1750"/>
        <v>0</v>
      </c>
      <c r="EO125" s="48">
        <f t="shared" si="1751"/>
        <v>0</v>
      </c>
      <c r="EP125" s="62">
        <f t="shared" si="1752"/>
        <v>385760</v>
      </c>
      <c r="EQ125" s="62">
        <f t="shared" si="1752"/>
        <v>385760</v>
      </c>
      <c r="ER125" s="62">
        <f t="shared" si="1752"/>
        <v>385760</v>
      </c>
      <c r="ES125" s="62">
        <f t="shared" si="1753"/>
        <v>385760</v>
      </c>
      <c r="ET125" s="62">
        <f t="shared" si="1753"/>
        <v>385760</v>
      </c>
      <c r="EU125" s="62">
        <f t="shared" si="1753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54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 t="shared" si="1034"/>
        <v>0</v>
      </c>
      <c r="FS125" s="104" t="b">
        <f t="shared" si="1035"/>
        <v>0</v>
      </c>
      <c r="FT125" s="104" t="b">
        <f t="shared" si="1036"/>
        <v>0</v>
      </c>
      <c r="FU125" s="104" t="b">
        <f t="shared" si="1037"/>
        <v>0</v>
      </c>
      <c r="FV125" s="104" t="b">
        <f t="shared" si="1038"/>
        <v>1</v>
      </c>
      <c r="FW125" s="104" t="b">
        <f t="shared" si="1094"/>
        <v>0</v>
      </c>
      <c r="FX125" s="104" t="b">
        <f t="shared" si="1755"/>
        <v>1</v>
      </c>
      <c r="FY125" s="104" t="s">
        <v>214</v>
      </c>
      <c r="FZ125" s="104" t="b">
        <f t="shared" si="1756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57"/>
        <v>1</v>
      </c>
      <c r="GI125" s="108" t="b">
        <f t="shared" si="1758"/>
        <v>0</v>
      </c>
    </row>
    <row r="126" spans="1:191" s="31" customFormat="1" ht="30" hidden="1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99"/>
        <v>нет минмакс</v>
      </c>
      <c r="Q126" s="95">
        <v>23443</v>
      </c>
      <c r="R126" s="95">
        <f t="shared" si="1700"/>
        <v>137610.41</v>
      </c>
      <c r="S126" s="112">
        <v>17471</v>
      </c>
      <c r="T126" s="112">
        <v>96265.209999999992</v>
      </c>
      <c r="U126" s="112">
        <f t="shared" si="1701"/>
        <v>0</v>
      </c>
      <c r="V126" s="113">
        <f t="shared" si="1702"/>
        <v>354</v>
      </c>
      <c r="W126" s="113">
        <f t="shared" si="1703"/>
        <v>2077.98</v>
      </c>
      <c r="X126" s="113">
        <f t="shared" si="1704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705"/>
        <v>0</v>
      </c>
      <c r="AF126" s="95">
        <f t="shared" si="1706"/>
        <v>0</v>
      </c>
      <c r="AG126" s="114">
        <v>0</v>
      </c>
      <c r="AH126" s="95">
        <f t="shared" si="1707"/>
        <v>354</v>
      </c>
      <c r="AI126" s="115">
        <f t="shared" si="1708"/>
        <v>2077.98</v>
      </c>
      <c r="AJ126" s="95">
        <f t="shared" si="1709"/>
        <v>5000</v>
      </c>
      <c r="AK126" s="95">
        <f t="shared" si="1710"/>
        <v>11579</v>
      </c>
      <c r="AL126" s="95">
        <f t="shared" si="1711"/>
        <v>11579</v>
      </c>
      <c r="AM126" s="95">
        <f t="shared" si="1712"/>
        <v>12000</v>
      </c>
      <c r="AN126" s="95">
        <f t="shared" si="1713"/>
        <v>262.065</v>
      </c>
      <c r="AO126" s="95" t="str">
        <f t="shared" si="1714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15"/>
        <v>0-12</v>
      </c>
      <c r="AW126" s="117">
        <f t="shared" si="1716"/>
        <v>2077.98</v>
      </c>
      <c r="AX126" s="14">
        <f t="shared" ref="AX126:AX128" si="1761">MONTH(BC126)-6</f>
        <v>3</v>
      </c>
      <c r="AY126" s="25">
        <f t="shared" si="1717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18"/>
        <v>0</v>
      </c>
      <c r="BG126" s="29">
        <v>0</v>
      </c>
      <c r="BH126" s="29">
        <f t="shared" si="1719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20"/>
        <v>2000</v>
      </c>
      <c r="BR126" s="95">
        <f t="shared" si="1721"/>
        <v>21443</v>
      </c>
      <c r="BS126" s="95">
        <f t="shared" si="1722"/>
        <v>19443</v>
      </c>
      <c r="BT126" s="95">
        <f t="shared" si="1722"/>
        <v>17443</v>
      </c>
      <c r="BU126" s="95">
        <f t="shared" si="1722"/>
        <v>15443</v>
      </c>
      <c r="BV126" s="95">
        <f t="shared" si="1722"/>
        <v>13443</v>
      </c>
      <c r="BW126" s="95">
        <f t="shared" si="1722"/>
        <v>11443</v>
      </c>
      <c r="BX126" s="95">
        <f t="shared" si="1760"/>
        <v>9443</v>
      </c>
      <c r="BY126" s="95">
        <f t="shared" si="1760"/>
        <v>7443</v>
      </c>
      <c r="BZ126" s="95">
        <f t="shared" si="1760"/>
        <v>5443</v>
      </c>
      <c r="CA126" s="95">
        <f t="shared" si="1760"/>
        <v>3443</v>
      </c>
      <c r="CB126" s="95">
        <f t="shared" si="1760"/>
        <v>1443</v>
      </c>
      <c r="CC126" s="95">
        <f t="shared" si="1760"/>
        <v>-557</v>
      </c>
      <c r="CD126" s="95">
        <f t="shared" si="1760"/>
        <v>-2557</v>
      </c>
      <c r="CE126" s="95">
        <f t="shared" si="1760"/>
        <v>-4557</v>
      </c>
      <c r="CF126" s="95">
        <f t="shared" si="1760"/>
        <v>-6557</v>
      </c>
      <c r="CG126" s="95">
        <f t="shared" si="1760"/>
        <v>-8557</v>
      </c>
      <c r="CH126" s="95">
        <f t="shared" si="1760"/>
        <v>-10557</v>
      </c>
      <c r="CI126" s="95">
        <f t="shared" si="1760"/>
        <v>-12557</v>
      </c>
      <c r="CJ126" s="95">
        <f t="shared" si="1760"/>
        <v>-14557</v>
      </c>
      <c r="CK126" s="95">
        <f t="shared" si="1760"/>
        <v>-16557</v>
      </c>
      <c r="CL126" s="95">
        <f t="shared" si="1760"/>
        <v>-18557</v>
      </c>
      <c r="CM126" s="95">
        <f t="shared" si="1760"/>
        <v>-20557</v>
      </c>
      <c r="CN126" s="95">
        <f t="shared" si="1760"/>
        <v>-22557</v>
      </c>
      <c r="CO126" s="95">
        <f t="shared" si="1760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25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26"/>
        <v>0</v>
      </c>
      <c r="DB126" s="62">
        <f t="shared" si="1727"/>
        <v>0</v>
      </c>
      <c r="DC126" s="62">
        <f t="shared" si="1728"/>
        <v>0</v>
      </c>
      <c r="DD126" s="102">
        <f t="shared" si="1729"/>
        <v>0</v>
      </c>
      <c r="DE126" s="31">
        <v>0</v>
      </c>
      <c r="DF126" s="31">
        <v>90</v>
      </c>
      <c r="DG126" s="31">
        <v>0</v>
      </c>
      <c r="DH126" s="48">
        <f t="shared" si="1730"/>
        <v>0</v>
      </c>
      <c r="DI126" s="62">
        <v>645.16200000000003</v>
      </c>
      <c r="DJ126" s="62">
        <v>3765.828</v>
      </c>
      <c r="DK126" s="48">
        <f t="shared" si="1731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32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33"/>
        <v>0</v>
      </c>
      <c r="DV126" s="62">
        <v>2551</v>
      </c>
      <c r="DW126" s="62">
        <v>13684.337122660294</v>
      </c>
      <c r="DX126" s="62">
        <f t="shared" si="1734"/>
        <v>6000</v>
      </c>
      <c r="DY126" s="62">
        <f t="shared" si="1735"/>
        <v>35220</v>
      </c>
      <c r="DZ126" s="48">
        <f t="shared" si="1736"/>
        <v>0</v>
      </c>
      <c r="EA126" s="62">
        <f t="shared" si="1737"/>
        <v>6000</v>
      </c>
      <c r="EB126" s="62">
        <f t="shared" si="1738"/>
        <v>35220</v>
      </c>
      <c r="EC126" s="48">
        <f t="shared" si="1739"/>
        <v>0</v>
      </c>
      <c r="ED126" s="62">
        <f t="shared" si="1740"/>
        <v>6000</v>
      </c>
      <c r="EE126" s="62">
        <f t="shared" si="1741"/>
        <v>35220</v>
      </c>
      <c r="EF126" s="48">
        <f t="shared" si="1742"/>
        <v>0</v>
      </c>
      <c r="EG126" s="62">
        <f t="shared" si="1743"/>
        <v>6000</v>
      </c>
      <c r="EH126" s="62">
        <f t="shared" si="1744"/>
        <v>35220</v>
      </c>
      <c r="EI126" s="48">
        <f t="shared" si="1745"/>
        <v>0</v>
      </c>
      <c r="EJ126" s="62">
        <f t="shared" si="1746"/>
        <v>6000</v>
      </c>
      <c r="EK126" s="62">
        <f t="shared" si="1747"/>
        <v>35220</v>
      </c>
      <c r="EL126" s="48">
        <f t="shared" si="1748"/>
        <v>0</v>
      </c>
      <c r="EM126" s="62">
        <f t="shared" si="1749"/>
        <v>6000</v>
      </c>
      <c r="EN126" s="62">
        <f t="shared" si="1750"/>
        <v>35220</v>
      </c>
      <c r="EO126" s="48">
        <f t="shared" si="1751"/>
        <v>0</v>
      </c>
      <c r="EP126" s="62">
        <f t="shared" si="1752"/>
        <v>11740</v>
      </c>
      <c r="EQ126" s="62">
        <f t="shared" si="1752"/>
        <v>11740</v>
      </c>
      <c r="ER126" s="62">
        <f t="shared" si="1752"/>
        <v>11740</v>
      </c>
      <c r="ES126" s="62">
        <f t="shared" si="1753"/>
        <v>11740</v>
      </c>
      <c r="ET126" s="62">
        <f t="shared" si="1753"/>
        <v>11740</v>
      </c>
      <c r="EU126" s="62">
        <f t="shared" si="1753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54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 t="shared" si="1034"/>
        <v>1</v>
      </c>
      <c r="FS126" s="103" t="b">
        <f t="shared" si="1035"/>
        <v>1</v>
      </c>
      <c r="FT126" s="103" t="b">
        <f t="shared" si="1036"/>
        <v>1</v>
      </c>
      <c r="FU126" s="103" t="b">
        <f t="shared" si="1037"/>
        <v>0</v>
      </c>
      <c r="FV126" s="103" t="b">
        <f t="shared" si="1038"/>
        <v>1</v>
      </c>
      <c r="FW126" s="104" t="b">
        <f t="shared" si="1094"/>
        <v>0</v>
      </c>
      <c r="FX126" s="120" t="b">
        <f t="shared" si="1755"/>
        <v>1</v>
      </c>
      <c r="FY126" s="104" t="s">
        <v>214</v>
      </c>
      <c r="FZ126" s="104" t="b">
        <f t="shared" si="1756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57"/>
        <v>1</v>
      </c>
      <c r="GI126" s="8" t="b">
        <f t="shared" si="1758"/>
        <v>0</v>
      </c>
    </row>
    <row r="127" spans="1:191" s="31" customFormat="1" ht="30" hidden="1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99"/>
        <v>нет минмакс</v>
      </c>
      <c r="Q127" s="95">
        <v>23390</v>
      </c>
      <c r="R127" s="95">
        <f t="shared" si="1700"/>
        <v>137299.29999999999</v>
      </c>
      <c r="S127" s="112">
        <v>17428</v>
      </c>
      <c r="T127" s="112">
        <v>96028.28</v>
      </c>
      <c r="U127" s="112">
        <f t="shared" si="1701"/>
        <v>0</v>
      </c>
      <c r="V127" s="113">
        <f t="shared" si="1702"/>
        <v>461</v>
      </c>
      <c r="W127" s="113">
        <f t="shared" si="1703"/>
        <v>2706.07</v>
      </c>
      <c r="X127" s="113">
        <f t="shared" si="1704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705"/>
        <v>0</v>
      </c>
      <c r="AF127" s="95">
        <f t="shared" si="1706"/>
        <v>0</v>
      </c>
      <c r="AG127" s="114">
        <v>0</v>
      </c>
      <c r="AH127" s="95">
        <f t="shared" si="1707"/>
        <v>461</v>
      </c>
      <c r="AI127" s="115">
        <f t="shared" si="1708"/>
        <v>2706.07</v>
      </c>
      <c r="AJ127" s="95">
        <f t="shared" si="1709"/>
        <v>5000</v>
      </c>
      <c r="AK127" s="95">
        <f t="shared" si="1710"/>
        <v>11610</v>
      </c>
      <c r="AL127" s="95">
        <f t="shared" si="1711"/>
        <v>11610</v>
      </c>
      <c r="AM127" s="95">
        <f t="shared" si="1712"/>
        <v>12000</v>
      </c>
      <c r="AN127" s="95">
        <f t="shared" si="1713"/>
        <v>261.42</v>
      </c>
      <c r="AO127" s="95" t="str">
        <f t="shared" si="1714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15"/>
        <v>0-12</v>
      </c>
      <c r="AW127" s="117">
        <f t="shared" si="1716"/>
        <v>2706.07</v>
      </c>
      <c r="AX127" s="14">
        <f t="shared" si="1761"/>
        <v>3</v>
      </c>
      <c r="AY127" s="25">
        <f t="shared" si="1717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18"/>
        <v>0</v>
      </c>
      <c r="BG127" s="29">
        <v>0</v>
      </c>
      <c r="BH127" s="29">
        <f t="shared" si="1719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20"/>
        <v>2000</v>
      </c>
      <c r="BR127" s="95">
        <f t="shared" si="1721"/>
        <v>21390</v>
      </c>
      <c r="BS127" s="95">
        <f t="shared" si="1722"/>
        <v>19390</v>
      </c>
      <c r="BT127" s="95">
        <f t="shared" si="1722"/>
        <v>17390</v>
      </c>
      <c r="BU127" s="95">
        <f t="shared" si="1722"/>
        <v>15390</v>
      </c>
      <c r="BV127" s="95">
        <f t="shared" si="1722"/>
        <v>13390</v>
      </c>
      <c r="BW127" s="95">
        <f t="shared" si="1722"/>
        <v>11390</v>
      </c>
      <c r="BX127" s="95">
        <f t="shared" si="1760"/>
        <v>9390</v>
      </c>
      <c r="BY127" s="95">
        <f t="shared" si="1760"/>
        <v>7390</v>
      </c>
      <c r="BZ127" s="95">
        <f t="shared" si="1760"/>
        <v>5390</v>
      </c>
      <c r="CA127" s="95">
        <f t="shared" si="1760"/>
        <v>3390</v>
      </c>
      <c r="CB127" s="95">
        <f t="shared" si="1760"/>
        <v>1390</v>
      </c>
      <c r="CC127" s="95">
        <f t="shared" si="1760"/>
        <v>-610</v>
      </c>
      <c r="CD127" s="95">
        <f t="shared" si="1760"/>
        <v>-2610</v>
      </c>
      <c r="CE127" s="95">
        <f t="shared" si="1760"/>
        <v>-4610</v>
      </c>
      <c r="CF127" s="95">
        <f t="shared" si="1760"/>
        <v>-6610</v>
      </c>
      <c r="CG127" s="95">
        <f t="shared" si="1760"/>
        <v>-8610</v>
      </c>
      <c r="CH127" s="95">
        <f t="shared" si="1760"/>
        <v>-10610</v>
      </c>
      <c r="CI127" s="95">
        <f t="shared" si="1760"/>
        <v>-12610</v>
      </c>
      <c r="CJ127" s="95">
        <f t="shared" si="1760"/>
        <v>-14610</v>
      </c>
      <c r="CK127" s="95">
        <f t="shared" si="1760"/>
        <v>-16610</v>
      </c>
      <c r="CL127" s="95">
        <f t="shared" si="1760"/>
        <v>-18610</v>
      </c>
      <c r="CM127" s="95">
        <f t="shared" si="1760"/>
        <v>-20610</v>
      </c>
      <c r="CN127" s="95">
        <f t="shared" si="1760"/>
        <v>-22610</v>
      </c>
      <c r="CO127" s="95">
        <f t="shared" si="1760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25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26"/>
        <v>0</v>
      </c>
      <c r="DB127" s="62">
        <f t="shared" si="1727"/>
        <v>0</v>
      </c>
      <c r="DC127" s="62">
        <f t="shared" si="1728"/>
        <v>0</v>
      </c>
      <c r="DD127" s="102">
        <f t="shared" si="1729"/>
        <v>0</v>
      </c>
      <c r="DE127" s="31">
        <v>0</v>
      </c>
      <c r="DF127" s="31">
        <v>90</v>
      </c>
      <c r="DG127" s="31">
        <v>0</v>
      </c>
      <c r="DH127" s="48">
        <f t="shared" si="1730"/>
        <v>0</v>
      </c>
      <c r="DI127" s="62">
        <v>645.16200000000003</v>
      </c>
      <c r="DJ127" s="62">
        <v>3765.828</v>
      </c>
      <c r="DK127" s="48">
        <f t="shared" si="1731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32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33"/>
        <v>0</v>
      </c>
      <c r="DV127" s="62">
        <v>2572</v>
      </c>
      <c r="DW127" s="62">
        <v>13793.003288</v>
      </c>
      <c r="DX127" s="62">
        <f t="shared" si="1734"/>
        <v>6000</v>
      </c>
      <c r="DY127" s="62">
        <f t="shared" si="1735"/>
        <v>35220</v>
      </c>
      <c r="DZ127" s="48">
        <f t="shared" si="1736"/>
        <v>0</v>
      </c>
      <c r="EA127" s="62">
        <f t="shared" si="1737"/>
        <v>6000</v>
      </c>
      <c r="EB127" s="62">
        <f t="shared" si="1738"/>
        <v>35220</v>
      </c>
      <c r="EC127" s="48">
        <f t="shared" si="1739"/>
        <v>0</v>
      </c>
      <c r="ED127" s="62">
        <f t="shared" si="1740"/>
        <v>6000</v>
      </c>
      <c r="EE127" s="62">
        <f t="shared" si="1741"/>
        <v>35220</v>
      </c>
      <c r="EF127" s="48">
        <f t="shared" si="1742"/>
        <v>0</v>
      </c>
      <c r="EG127" s="62">
        <f t="shared" si="1743"/>
        <v>6000</v>
      </c>
      <c r="EH127" s="62">
        <f t="shared" si="1744"/>
        <v>35220</v>
      </c>
      <c r="EI127" s="48">
        <f t="shared" si="1745"/>
        <v>0</v>
      </c>
      <c r="EJ127" s="62">
        <f t="shared" si="1746"/>
        <v>6000</v>
      </c>
      <c r="EK127" s="62">
        <f t="shared" si="1747"/>
        <v>35220</v>
      </c>
      <c r="EL127" s="48">
        <f t="shared" si="1748"/>
        <v>0</v>
      </c>
      <c r="EM127" s="62">
        <f t="shared" si="1749"/>
        <v>6000</v>
      </c>
      <c r="EN127" s="62">
        <f t="shared" si="1750"/>
        <v>35220</v>
      </c>
      <c r="EO127" s="48">
        <f t="shared" si="1751"/>
        <v>0</v>
      </c>
      <c r="EP127" s="62">
        <f t="shared" si="1752"/>
        <v>11740</v>
      </c>
      <c r="EQ127" s="62">
        <f t="shared" si="1752"/>
        <v>11740</v>
      </c>
      <c r="ER127" s="62">
        <f t="shared" si="1752"/>
        <v>11740</v>
      </c>
      <c r="ES127" s="62">
        <f t="shared" si="1753"/>
        <v>11740</v>
      </c>
      <c r="ET127" s="62">
        <f t="shared" si="1753"/>
        <v>11740</v>
      </c>
      <c r="EU127" s="62">
        <f t="shared" si="1753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54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 t="shared" si="1034"/>
        <v>1</v>
      </c>
      <c r="FS127" s="103" t="b">
        <f t="shared" si="1035"/>
        <v>1</v>
      </c>
      <c r="FT127" s="103" t="b">
        <f t="shared" si="1036"/>
        <v>1</v>
      </c>
      <c r="FU127" s="103" t="b">
        <f t="shared" si="1037"/>
        <v>0</v>
      </c>
      <c r="FV127" s="103" t="b">
        <f t="shared" si="1038"/>
        <v>1</v>
      </c>
      <c r="FW127" s="104" t="b">
        <f t="shared" si="1094"/>
        <v>0</v>
      </c>
      <c r="FX127" s="120" t="b">
        <f t="shared" si="1755"/>
        <v>1</v>
      </c>
      <c r="FY127" s="104" t="s">
        <v>214</v>
      </c>
      <c r="FZ127" s="104" t="b">
        <f t="shared" si="1756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57"/>
        <v>1</v>
      </c>
      <c r="GI127" s="8" t="b">
        <f t="shared" si="1758"/>
        <v>0</v>
      </c>
    </row>
    <row r="128" spans="1:191" s="31" customFormat="1" hidden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99"/>
        <v>нет минмакс</v>
      </c>
      <c r="Q128" s="95">
        <v>1040</v>
      </c>
      <c r="R128" s="95">
        <f t="shared" si="1700"/>
        <v>20425.600000000002</v>
      </c>
      <c r="S128" s="112">
        <v>790</v>
      </c>
      <c r="T128" s="112">
        <v>14946.800000000001</v>
      </c>
      <c r="U128" s="112">
        <f t="shared" si="1701"/>
        <v>0</v>
      </c>
      <c r="V128" s="113">
        <f t="shared" si="1702"/>
        <v>246</v>
      </c>
      <c r="W128" s="113">
        <f t="shared" si="1703"/>
        <v>4831.4400000000005</v>
      </c>
      <c r="X128" s="113">
        <f t="shared" si="1704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705"/>
        <v>0</v>
      </c>
      <c r="AF128" s="95">
        <f t="shared" si="1706"/>
        <v>0</v>
      </c>
      <c r="AG128" s="114">
        <v>0</v>
      </c>
      <c r="AH128" s="95">
        <f t="shared" si="1707"/>
        <v>246</v>
      </c>
      <c r="AI128" s="115">
        <f t="shared" si="1708"/>
        <v>4831.4400000000005</v>
      </c>
      <c r="AJ128" s="95">
        <f t="shared" si="1709"/>
        <v>414</v>
      </c>
      <c r="AK128" s="95">
        <f t="shared" si="1710"/>
        <v>960</v>
      </c>
      <c r="AL128" s="95">
        <f t="shared" si="1711"/>
        <v>960</v>
      </c>
      <c r="AM128" s="95">
        <f t="shared" si="1712"/>
        <v>1000.0199999999999</v>
      </c>
      <c r="AN128" s="95">
        <f t="shared" si="1713"/>
        <v>142.19715605687887</v>
      </c>
      <c r="AO128" s="95" t="str">
        <f t="shared" si="1714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15"/>
        <v>0-07</v>
      </c>
      <c r="AW128" s="117">
        <f t="shared" si="1716"/>
        <v>4831.4400000000005</v>
      </c>
      <c r="AX128" s="14">
        <f t="shared" si="1761"/>
        <v>3</v>
      </c>
      <c r="AY128" s="25">
        <f t="shared" si="1717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18"/>
        <v>0</v>
      </c>
      <c r="BG128" s="29">
        <v>0</v>
      </c>
      <c r="BH128" s="29">
        <f t="shared" si="1719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20"/>
        <v>166.67</v>
      </c>
      <c r="BR128" s="95">
        <f t="shared" si="1721"/>
        <v>873.33</v>
      </c>
      <c r="BS128" s="95">
        <f t="shared" si="1722"/>
        <v>706.66000000000008</v>
      </c>
      <c r="BT128" s="95">
        <f t="shared" si="1722"/>
        <v>539.99000000000012</v>
      </c>
      <c r="BU128" s="95">
        <f t="shared" si="1722"/>
        <v>373.32000000000016</v>
      </c>
      <c r="BV128" s="95">
        <f t="shared" si="1722"/>
        <v>206.65000000000018</v>
      </c>
      <c r="BW128" s="95">
        <f t="shared" si="1722"/>
        <v>39.980000000000189</v>
      </c>
      <c r="BX128" s="95">
        <f t="shared" si="1760"/>
        <v>-126.6899999999998</v>
      </c>
      <c r="BY128" s="95">
        <f t="shared" si="1760"/>
        <v>-293.35999999999979</v>
      </c>
      <c r="BZ128" s="95">
        <f t="shared" si="1760"/>
        <v>-460.02999999999975</v>
      </c>
      <c r="CA128" s="95">
        <f t="shared" si="1760"/>
        <v>-626.6999999999997</v>
      </c>
      <c r="CB128" s="95">
        <f t="shared" si="1760"/>
        <v>-793.36999999999966</v>
      </c>
      <c r="CC128" s="95">
        <f t="shared" si="1760"/>
        <v>-960.03999999999962</v>
      </c>
      <c r="CD128" s="95">
        <f t="shared" si="1760"/>
        <v>-1126.7099999999996</v>
      </c>
      <c r="CE128" s="95">
        <f t="shared" si="1760"/>
        <v>-1293.3799999999997</v>
      </c>
      <c r="CF128" s="95">
        <f t="shared" si="1760"/>
        <v>-1460.0499999999997</v>
      </c>
      <c r="CG128" s="95">
        <f t="shared" si="1760"/>
        <v>-1626.7199999999998</v>
      </c>
      <c r="CH128" s="95">
        <f t="shared" si="1760"/>
        <v>-1793.3899999999999</v>
      </c>
      <c r="CI128" s="95">
        <f t="shared" si="1760"/>
        <v>-1960.06</v>
      </c>
      <c r="CJ128" s="95">
        <f t="shared" si="1760"/>
        <v>-2126.73</v>
      </c>
      <c r="CK128" s="95">
        <f t="shared" si="1760"/>
        <v>-2293.4</v>
      </c>
      <c r="CL128" s="95">
        <f t="shared" si="1760"/>
        <v>-2460.0700000000002</v>
      </c>
      <c r="CM128" s="95">
        <f t="shared" si="1760"/>
        <v>-2626.7400000000002</v>
      </c>
      <c r="CN128" s="95">
        <f t="shared" si="1760"/>
        <v>-2793.4100000000003</v>
      </c>
      <c r="CO128" s="95">
        <f t="shared" si="1760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25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26"/>
        <v>0</v>
      </c>
      <c r="DB128" s="62">
        <f t="shared" si="1727"/>
        <v>0</v>
      </c>
      <c r="DC128" s="62">
        <f t="shared" si="1728"/>
        <v>0</v>
      </c>
      <c r="DD128" s="102">
        <f t="shared" si="1729"/>
        <v>0</v>
      </c>
      <c r="DE128" s="31">
        <v>0</v>
      </c>
      <c r="DF128" s="31">
        <v>90</v>
      </c>
      <c r="DG128" s="31">
        <v>0</v>
      </c>
      <c r="DH128" s="48">
        <f t="shared" si="1730"/>
        <v>0</v>
      </c>
      <c r="DI128" s="62">
        <v>64.516000000000005</v>
      </c>
      <c r="DJ128" s="62">
        <v>1220.921</v>
      </c>
      <c r="DK128" s="48">
        <f t="shared" si="1731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32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33"/>
        <v>0</v>
      </c>
      <c r="DV128" s="62">
        <v>210</v>
      </c>
      <c r="DW128" s="62">
        <v>3974.0987999999998</v>
      </c>
      <c r="DX128" s="62">
        <f t="shared" si="1734"/>
        <v>500.01</v>
      </c>
      <c r="DY128" s="62">
        <f t="shared" si="1735"/>
        <v>9820.1964000000007</v>
      </c>
      <c r="DZ128" s="48">
        <f t="shared" si="1736"/>
        <v>0</v>
      </c>
      <c r="EA128" s="62">
        <f t="shared" si="1737"/>
        <v>500.01</v>
      </c>
      <c r="EB128" s="62">
        <f t="shared" si="1738"/>
        <v>9820.1964000000007</v>
      </c>
      <c r="EC128" s="48">
        <f t="shared" si="1739"/>
        <v>0</v>
      </c>
      <c r="ED128" s="62">
        <f t="shared" si="1740"/>
        <v>500.01</v>
      </c>
      <c r="EE128" s="62">
        <f t="shared" si="1741"/>
        <v>9820.1964000000007</v>
      </c>
      <c r="EF128" s="48">
        <f t="shared" si="1742"/>
        <v>0</v>
      </c>
      <c r="EG128" s="62">
        <f t="shared" si="1743"/>
        <v>500.01</v>
      </c>
      <c r="EH128" s="62">
        <f t="shared" si="1744"/>
        <v>9820.1964000000007</v>
      </c>
      <c r="EI128" s="48">
        <f t="shared" si="1745"/>
        <v>0</v>
      </c>
      <c r="EJ128" s="62">
        <f t="shared" si="1746"/>
        <v>500.01</v>
      </c>
      <c r="EK128" s="62">
        <f t="shared" si="1747"/>
        <v>9820.1964000000007</v>
      </c>
      <c r="EL128" s="48">
        <f t="shared" si="1748"/>
        <v>0</v>
      </c>
      <c r="EM128" s="62">
        <f t="shared" si="1749"/>
        <v>500.01</v>
      </c>
      <c r="EN128" s="62">
        <f t="shared" si="1750"/>
        <v>9820.1964000000007</v>
      </c>
      <c r="EO128" s="48">
        <f t="shared" si="1751"/>
        <v>0</v>
      </c>
      <c r="EP128" s="62">
        <f t="shared" si="1752"/>
        <v>3273.3987999999999</v>
      </c>
      <c r="EQ128" s="62">
        <f t="shared" si="1752"/>
        <v>3273.3987999999999</v>
      </c>
      <c r="ER128" s="62">
        <f t="shared" si="1752"/>
        <v>3273.3987999999999</v>
      </c>
      <c r="ES128" s="62">
        <f t="shared" si="1753"/>
        <v>3273.3987999999999</v>
      </c>
      <c r="ET128" s="62">
        <f t="shared" si="1753"/>
        <v>3273.3987999999999</v>
      </c>
      <c r="EU128" s="62">
        <f t="shared" si="1753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54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 t="shared" si="1034"/>
        <v>1</v>
      </c>
      <c r="FS128" s="103" t="b">
        <f t="shared" si="1035"/>
        <v>0</v>
      </c>
      <c r="FT128" s="103" t="b">
        <f t="shared" si="1036"/>
        <v>1</v>
      </c>
      <c r="FU128" s="103" t="b">
        <f t="shared" si="1037"/>
        <v>0</v>
      </c>
      <c r="FV128" s="103" t="b">
        <f t="shared" si="1038"/>
        <v>1</v>
      </c>
      <c r="FW128" s="104" t="b">
        <f t="shared" si="1094"/>
        <v>0</v>
      </c>
      <c r="FX128" s="120" t="b">
        <f t="shared" si="1755"/>
        <v>1</v>
      </c>
      <c r="FY128" s="104" t="s">
        <v>214</v>
      </c>
      <c r="FZ128" s="104" t="b">
        <f t="shared" si="1756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57"/>
        <v>1</v>
      </c>
      <c r="GI128" s="8" t="b">
        <f t="shared" si="1758"/>
        <v>0</v>
      </c>
    </row>
    <row r="129" spans="1:192" s="31" customFormat="1" hidden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62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63">Q129*FH129</f>
        <v>0</v>
      </c>
      <c r="S129" s="94">
        <v>0</v>
      </c>
      <c r="T129" s="94">
        <v>0</v>
      </c>
      <c r="U129" s="94">
        <f t="shared" ref="U129:U135" si="1764">IFERROR(ROUNDUP(S129/$EX129,0)*$EY129,0)</f>
        <v>0</v>
      </c>
      <c r="V129" s="94">
        <f t="shared" ref="V129:V135" si="1765">SUM(Z129:AD129)</f>
        <v>0</v>
      </c>
      <c r="W129" s="94">
        <f t="shared" ref="W129:W135" si="1766">V129*FH129</f>
        <v>0</v>
      </c>
      <c r="X129" s="94">
        <f t="shared" ref="X129:X135" si="1767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68">AA129*FH129</f>
        <v>0</v>
      </c>
      <c r="AF129" s="95">
        <f t="shared" ref="AF129:AF135" si="1769">AB129*FH129</f>
        <v>0</v>
      </c>
      <c r="AG129" s="96">
        <v>0</v>
      </c>
      <c r="AH129" s="95">
        <f t="shared" ref="AH129:AH135" si="1770">V129-AG129</f>
        <v>0</v>
      </c>
      <c r="AI129" s="94">
        <f t="shared" ref="AI129:AI135" si="1771">IF(AH129&gt;0,AH129*FH129,0)</f>
        <v>0</v>
      </c>
      <c r="AJ129" s="94">
        <f t="shared" ref="AJ129:AJ135" si="1772">CU129</f>
        <v>0</v>
      </c>
      <c r="AK129" s="94">
        <f t="shared" ref="AK129:AK135" si="1773">SUM(CS129:CU129)</f>
        <v>12</v>
      </c>
      <c r="AL129" s="94">
        <f t="shared" ref="AL129:AL135" si="1774">SUM(CP129:CU129)</f>
        <v>24</v>
      </c>
      <c r="AM129" s="94">
        <f t="shared" ref="AM129:AM135" si="1775">SUM(BK129:BP129)</f>
        <v>48</v>
      </c>
      <c r="AN129" s="94">
        <f t="shared" ref="AN129:AN135" si="1776">IFERROR(S129/BQ129*30,"нет оборота")</f>
        <v>0</v>
      </c>
      <c r="AO129" s="94" t="str">
        <f t="shared" ref="AO129:AO135" si="1777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78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79">IF(AT129="Да",W129,0)</f>
        <v>0</v>
      </c>
      <c r="AX129" s="93"/>
      <c r="AY129" s="94">
        <f t="shared" ref="AY129:AY135" si="1780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81">BE129*FH129</f>
        <v>0</v>
      </c>
      <c r="BG129" s="29">
        <v>0</v>
      </c>
      <c r="BH129" s="29">
        <f t="shared" ref="BH129:BH135" si="1782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83">IF(COUNTIF(BK129:BP129,"&gt;0")=0,0,SUM(BK129:BP129)/COUNTIF(BK129:BP129,"&gt;0"))</f>
        <v>16</v>
      </c>
      <c r="BR129" s="95">
        <f t="shared" ref="BR129:BR135" si="1784">IF(OR(Q129=0,SUM(BK129:BP129)=0,V129&gt;Q129),V129-BK129,Q129-BK129)</f>
        <v>-16</v>
      </c>
      <c r="BS129" s="95">
        <f t="shared" ref="BS129:BW135" si="1785">BR129-BL129</f>
        <v>-16</v>
      </c>
      <c r="BT129" s="95">
        <f t="shared" si="1785"/>
        <v>-32</v>
      </c>
      <c r="BU129" s="95">
        <f t="shared" si="1785"/>
        <v>-32</v>
      </c>
      <c r="BV129" s="95">
        <f t="shared" si="1785"/>
        <v>-48</v>
      </c>
      <c r="BW129" s="95">
        <f t="shared" si="1785"/>
        <v>-48</v>
      </c>
      <c r="BX129" s="95">
        <f t="shared" ref="BX129:CO135" si="1786">BW129-$BQ129</f>
        <v>-64</v>
      </c>
      <c r="BY129" s="95">
        <f t="shared" si="1786"/>
        <v>-80</v>
      </c>
      <c r="BZ129" s="95">
        <f t="shared" si="1786"/>
        <v>-96</v>
      </c>
      <c r="CA129" s="95">
        <f t="shared" si="1786"/>
        <v>-112</v>
      </c>
      <c r="CB129" s="95">
        <f t="shared" si="1786"/>
        <v>-128</v>
      </c>
      <c r="CC129" s="95">
        <f t="shared" si="1786"/>
        <v>-144</v>
      </c>
      <c r="CD129" s="95">
        <f t="shared" si="1786"/>
        <v>-160</v>
      </c>
      <c r="CE129" s="95">
        <f t="shared" si="1786"/>
        <v>-176</v>
      </c>
      <c r="CF129" s="95">
        <f t="shared" si="1786"/>
        <v>-192</v>
      </c>
      <c r="CG129" s="95">
        <f t="shared" si="1786"/>
        <v>-208</v>
      </c>
      <c r="CH129" s="95">
        <f t="shared" si="1786"/>
        <v>-224</v>
      </c>
      <c r="CI129" s="95">
        <f t="shared" si="1786"/>
        <v>-240</v>
      </c>
      <c r="CJ129" s="95">
        <f t="shared" si="1786"/>
        <v>-256</v>
      </c>
      <c r="CK129" s="95">
        <f t="shared" si="1786"/>
        <v>-272</v>
      </c>
      <c r="CL129" s="95">
        <f t="shared" si="1786"/>
        <v>-288</v>
      </c>
      <c r="CM129" s="95">
        <f t="shared" si="1786"/>
        <v>-304</v>
      </c>
      <c r="CN129" s="95">
        <f t="shared" si="1786"/>
        <v>-320</v>
      </c>
      <c r="CO129" s="95">
        <f t="shared" si="1786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87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88">IFERROR(CZ129/CY129,0)</f>
        <v>0.375</v>
      </c>
      <c r="DB129" s="62">
        <f t="shared" ref="DB129:DB135" si="1789">CY129*FH129</f>
        <v>1849283.2</v>
      </c>
      <c r="DC129" s="62">
        <f t="shared" ref="DC129:DC135" si="1790">CZ129*FH129</f>
        <v>693481.2</v>
      </c>
      <c r="DD129" s="102">
        <f t="shared" ref="DD129:DD135" si="1791">IFERROR(DC129/DB129,0)</f>
        <v>0.375</v>
      </c>
      <c r="DE129" s="31">
        <v>0</v>
      </c>
      <c r="DG129" s="31">
        <v>0</v>
      </c>
      <c r="DH129" s="48">
        <f t="shared" ref="DH129:DH135" si="1792">IFERROR(ROUNDUP(DG129/$EX129,0)*$EY129,0)</f>
        <v>0</v>
      </c>
      <c r="DI129" s="62">
        <v>0</v>
      </c>
      <c r="DJ129" s="62">
        <v>0</v>
      </c>
      <c r="DK129" s="48">
        <f t="shared" ref="DK129:DK135" si="1793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94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95">IFERROR(ROUNDUP(DS129/$EX129,0)*$EY129,0)</f>
        <v>1.5</v>
      </c>
      <c r="DV129" s="62">
        <v>12</v>
      </c>
      <c r="DW129" s="62">
        <v>654615.61</v>
      </c>
      <c r="DX129" s="62">
        <f t="shared" ref="DX129:DX135" si="1796">$DF129*BK129/30</f>
        <v>0</v>
      </c>
      <c r="DY129" s="62">
        <f t="shared" ref="DY129:DY135" si="1797">DX129*$FH129</f>
        <v>0</v>
      </c>
      <c r="DZ129" s="48">
        <f t="shared" ref="DZ129:DZ135" si="1798">IFERROR(ROUNDUP(DX129/$EX129,0)*$EY129,0)</f>
        <v>0</v>
      </c>
      <c r="EA129" s="62">
        <f t="shared" ref="EA129:EA135" si="1799">$DF129*BL129/30</f>
        <v>0</v>
      </c>
      <c r="EB129" s="62">
        <f t="shared" ref="EB129:EB135" si="1800">EA129*$FH129</f>
        <v>0</v>
      </c>
      <c r="EC129" s="48">
        <f t="shared" ref="EC129:EC135" si="1801">IFERROR(ROUNDUP(EA129/$EX129,0)*$EY129,0)</f>
        <v>0</v>
      </c>
      <c r="ED129" s="62">
        <f t="shared" ref="ED129:ED135" si="1802">$DF129*BM129/30</f>
        <v>0</v>
      </c>
      <c r="EE129" s="62">
        <f t="shared" ref="EE129:EE135" si="1803">ED129*$FH129</f>
        <v>0</v>
      </c>
      <c r="EF129" s="48">
        <f t="shared" ref="EF129:EF135" si="1804">IFERROR(ROUNDUP(ED129/$EX129,0)*$EY129,0)</f>
        <v>0</v>
      </c>
      <c r="EG129" s="62">
        <f t="shared" ref="EG129:EG135" si="1805">$DF129*BN129/30</f>
        <v>0</v>
      </c>
      <c r="EH129" s="62">
        <f t="shared" ref="EH129:EH135" si="1806">EG129*$FH129</f>
        <v>0</v>
      </c>
      <c r="EI129" s="48">
        <f t="shared" ref="EI129:EI135" si="1807">IFERROR(ROUNDUP(EG129/$EX129,0)*$EY129,0)</f>
        <v>0</v>
      </c>
      <c r="EJ129" s="62">
        <f t="shared" ref="EJ129:EJ135" si="1808">$DF129*BO129/30</f>
        <v>0</v>
      </c>
      <c r="EK129" s="62">
        <f t="shared" ref="EK129:EK135" si="1809">EJ129*$FH129</f>
        <v>0</v>
      </c>
      <c r="EL129" s="48">
        <f t="shared" ref="EL129:EL135" si="1810">IFERROR(ROUNDUP(EJ129/$EX129,0)*$EY129,0)</f>
        <v>0</v>
      </c>
      <c r="EM129" s="62">
        <f t="shared" ref="EM129:EM135" si="1811">$DF129*BP129/30</f>
        <v>0</v>
      </c>
      <c r="EN129" s="62">
        <f t="shared" ref="EN129:EN135" si="1812">EM129*$FH129</f>
        <v>0</v>
      </c>
      <c r="EO129" s="48">
        <f t="shared" ref="EO129:EO135" si="1813">IFERROR(ROUNDUP(EM129/$EX129,0)*$EY129,0)</f>
        <v>0</v>
      </c>
      <c r="EP129" s="62">
        <f t="shared" ref="EP129:ER135" si="1814">BK129*$FH129</f>
        <v>924641.6</v>
      </c>
      <c r="EQ129" s="62">
        <f t="shared" si="1814"/>
        <v>0</v>
      </c>
      <c r="ER129" s="62">
        <f t="shared" si="1814"/>
        <v>924641.6</v>
      </c>
      <c r="ES129" s="62">
        <f t="shared" ref="ES129:EU135" si="1815">BN129*$FH129</f>
        <v>0</v>
      </c>
      <c r="ET129" s="62">
        <f t="shared" si="1815"/>
        <v>924641.6</v>
      </c>
      <c r="EU129" s="62">
        <f t="shared" si="1815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16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 t="shared" si="1034"/>
        <v>0</v>
      </c>
      <c r="FS129" s="104" t="b">
        <f t="shared" si="1035"/>
        <v>0</v>
      </c>
      <c r="FT129" s="104" t="b">
        <f t="shared" si="1036"/>
        <v>0</v>
      </c>
      <c r="FU129" s="104" t="b">
        <f t="shared" si="1037"/>
        <v>0</v>
      </c>
      <c r="FV129" s="104" t="b">
        <f t="shared" si="1038"/>
        <v>1</v>
      </c>
      <c r="FW129" s="104" t="b">
        <f t="shared" si="1094"/>
        <v>0</v>
      </c>
      <c r="FX129" s="104" t="b">
        <f t="shared" ref="FX129:FX135" si="1817">EXACT(FQ129,BI129)</f>
        <v>1</v>
      </c>
      <c r="FY129" s="104" t="s">
        <v>214</v>
      </c>
      <c r="FZ129" s="104" t="b">
        <f t="shared" ref="FZ129:FZ135" si="1818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19">EXACT(GD129,C129)</f>
        <v>1</v>
      </c>
      <c r="GI129" s="108" t="b">
        <f t="shared" ref="GI129:GI135" si="1820">EXACT(GG129,G129)</f>
        <v>0</v>
      </c>
    </row>
    <row r="130" spans="1:192" s="31" customFormat="1" hidden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62"/>
        <v>нет минмакс</v>
      </c>
      <c r="Q130" s="95">
        <v>131</v>
      </c>
      <c r="R130" s="95">
        <f t="shared" si="1763"/>
        <v>463149.18999999994</v>
      </c>
      <c r="S130" s="112">
        <v>131</v>
      </c>
      <c r="T130" s="112">
        <v>463149.18999999994</v>
      </c>
      <c r="U130" s="112">
        <f t="shared" si="1764"/>
        <v>49.5</v>
      </c>
      <c r="V130" s="113">
        <f t="shared" si="1765"/>
        <v>131</v>
      </c>
      <c r="W130" s="113">
        <f t="shared" si="1766"/>
        <v>463149.18999999994</v>
      </c>
      <c r="X130" s="113">
        <f t="shared" si="1767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68"/>
        <v>0</v>
      </c>
      <c r="AF130" s="95">
        <f t="shared" si="1769"/>
        <v>0</v>
      </c>
      <c r="AG130" s="114">
        <v>0</v>
      </c>
      <c r="AH130" s="95">
        <f t="shared" si="1770"/>
        <v>131</v>
      </c>
      <c r="AI130" s="115">
        <f t="shared" si="1771"/>
        <v>463149.18999999994</v>
      </c>
      <c r="AJ130" s="95">
        <f t="shared" si="1772"/>
        <v>0</v>
      </c>
      <c r="AK130" s="95">
        <f t="shared" si="1773"/>
        <v>12</v>
      </c>
      <c r="AL130" s="95">
        <f t="shared" si="1774"/>
        <v>19</v>
      </c>
      <c r="AM130" s="95">
        <f t="shared" si="1775"/>
        <v>52</v>
      </c>
      <c r="AN130" s="95">
        <f t="shared" si="1776"/>
        <v>151.15384615384616</v>
      </c>
      <c r="AO130" s="95" t="str">
        <f t="shared" si="1777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78"/>
        <v>0-10</v>
      </c>
      <c r="AW130" s="117">
        <f t="shared" si="1779"/>
        <v>463149.18999999994</v>
      </c>
      <c r="AX130" s="14">
        <f>MONTH(BC130)-6</f>
        <v>4</v>
      </c>
      <c r="AY130" s="25">
        <f t="shared" si="1780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81"/>
        <v>0</v>
      </c>
      <c r="BG130" s="29">
        <v>0</v>
      </c>
      <c r="BH130" s="29">
        <f t="shared" si="1782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83"/>
        <v>26</v>
      </c>
      <c r="BR130" s="95">
        <f t="shared" si="1784"/>
        <v>105</v>
      </c>
      <c r="BS130" s="95">
        <f t="shared" si="1785"/>
        <v>105</v>
      </c>
      <c r="BT130" s="95">
        <f t="shared" si="1785"/>
        <v>79</v>
      </c>
      <c r="BU130" s="95">
        <f t="shared" si="1785"/>
        <v>79</v>
      </c>
      <c r="BV130" s="95">
        <f t="shared" si="1785"/>
        <v>79</v>
      </c>
      <c r="BW130" s="95">
        <f t="shared" si="1785"/>
        <v>79</v>
      </c>
      <c r="BX130" s="95">
        <f t="shared" si="1786"/>
        <v>53</v>
      </c>
      <c r="BY130" s="95">
        <f t="shared" si="1786"/>
        <v>27</v>
      </c>
      <c r="BZ130" s="95">
        <f t="shared" si="1786"/>
        <v>1</v>
      </c>
      <c r="CA130" s="95">
        <f t="shared" si="1786"/>
        <v>-25</v>
      </c>
      <c r="CB130" s="95">
        <f t="shared" si="1786"/>
        <v>-51</v>
      </c>
      <c r="CC130" s="95">
        <f t="shared" si="1786"/>
        <v>-77</v>
      </c>
      <c r="CD130" s="95">
        <f t="shared" si="1786"/>
        <v>-103</v>
      </c>
      <c r="CE130" s="95">
        <f t="shared" si="1786"/>
        <v>-129</v>
      </c>
      <c r="CF130" s="95">
        <f t="shared" si="1786"/>
        <v>-155</v>
      </c>
      <c r="CG130" s="95">
        <f t="shared" si="1786"/>
        <v>-181</v>
      </c>
      <c r="CH130" s="95">
        <f t="shared" si="1786"/>
        <v>-207</v>
      </c>
      <c r="CI130" s="95">
        <f t="shared" si="1786"/>
        <v>-233</v>
      </c>
      <c r="CJ130" s="95">
        <f t="shared" si="1786"/>
        <v>-259</v>
      </c>
      <c r="CK130" s="95">
        <f t="shared" si="1786"/>
        <v>-285</v>
      </c>
      <c r="CL130" s="95">
        <f t="shared" si="1786"/>
        <v>-311</v>
      </c>
      <c r="CM130" s="95">
        <f t="shared" si="1786"/>
        <v>-337</v>
      </c>
      <c r="CN130" s="95">
        <f t="shared" si="1786"/>
        <v>-363</v>
      </c>
      <c r="CO130" s="95">
        <f t="shared" si="1786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87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88"/>
        <v>0</v>
      </c>
      <c r="DB130" s="62">
        <f t="shared" si="1789"/>
        <v>0</v>
      </c>
      <c r="DC130" s="62">
        <f t="shared" si="1790"/>
        <v>0</v>
      </c>
      <c r="DD130" s="102">
        <f t="shared" si="1791"/>
        <v>0</v>
      </c>
      <c r="DE130" s="31">
        <v>0</v>
      </c>
      <c r="DF130" s="31">
        <v>10</v>
      </c>
      <c r="DG130" s="31">
        <v>127</v>
      </c>
      <c r="DH130" s="48">
        <f t="shared" si="1792"/>
        <v>48</v>
      </c>
      <c r="DI130" s="62">
        <v>143</v>
      </c>
      <c r="DJ130" s="62">
        <v>505574.52</v>
      </c>
      <c r="DK130" s="48">
        <f t="shared" si="1793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94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95"/>
        <v>52.5</v>
      </c>
      <c r="DV130" s="62">
        <v>12</v>
      </c>
      <c r="DW130" s="62">
        <v>42567.412500000006</v>
      </c>
      <c r="DX130" s="62">
        <f t="shared" si="1796"/>
        <v>8.6666666666666661</v>
      </c>
      <c r="DY130" s="62">
        <f t="shared" si="1797"/>
        <v>30640.91333333333</v>
      </c>
      <c r="DZ130" s="48">
        <f t="shared" si="1798"/>
        <v>4.5</v>
      </c>
      <c r="EA130" s="62">
        <f t="shared" si="1799"/>
        <v>0</v>
      </c>
      <c r="EB130" s="62">
        <f t="shared" si="1800"/>
        <v>0</v>
      </c>
      <c r="EC130" s="48">
        <f t="shared" si="1801"/>
        <v>0</v>
      </c>
      <c r="ED130" s="62">
        <f t="shared" si="1802"/>
        <v>8.6666666666666661</v>
      </c>
      <c r="EE130" s="62">
        <f t="shared" si="1803"/>
        <v>30640.91333333333</v>
      </c>
      <c r="EF130" s="48">
        <f t="shared" si="1804"/>
        <v>4.5</v>
      </c>
      <c r="EG130" s="62">
        <f t="shared" si="1805"/>
        <v>0</v>
      </c>
      <c r="EH130" s="62">
        <f t="shared" si="1806"/>
        <v>0</v>
      </c>
      <c r="EI130" s="48">
        <f t="shared" si="1807"/>
        <v>0</v>
      </c>
      <c r="EJ130" s="62">
        <f t="shared" si="1808"/>
        <v>0</v>
      </c>
      <c r="EK130" s="62">
        <f t="shared" si="1809"/>
        <v>0</v>
      </c>
      <c r="EL130" s="48">
        <f t="shared" si="1810"/>
        <v>0</v>
      </c>
      <c r="EM130" s="62">
        <f t="shared" si="1811"/>
        <v>0</v>
      </c>
      <c r="EN130" s="62">
        <f t="shared" si="1812"/>
        <v>0</v>
      </c>
      <c r="EO130" s="48">
        <f t="shared" si="1813"/>
        <v>0</v>
      </c>
      <c r="EP130" s="62">
        <f t="shared" si="1814"/>
        <v>91922.739999999991</v>
      </c>
      <c r="EQ130" s="62">
        <f t="shared" si="1814"/>
        <v>0</v>
      </c>
      <c r="ER130" s="62">
        <f t="shared" si="1814"/>
        <v>91922.739999999991</v>
      </c>
      <c r="ES130" s="62">
        <f t="shared" si="1815"/>
        <v>0</v>
      </c>
      <c r="ET130" s="62">
        <f t="shared" si="1815"/>
        <v>0</v>
      </c>
      <c r="EU130" s="62">
        <f t="shared" si="1815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16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 t="shared" si="1034"/>
        <v>1</v>
      </c>
      <c r="FS130" s="103" t="b">
        <f t="shared" si="1035"/>
        <v>1</v>
      </c>
      <c r="FT130" s="103" t="b">
        <f t="shared" si="1036"/>
        <v>1</v>
      </c>
      <c r="FU130" s="103" t="b">
        <f t="shared" si="1037"/>
        <v>0</v>
      </c>
      <c r="FV130" s="103" t="b">
        <f t="shared" si="1038"/>
        <v>1</v>
      </c>
      <c r="FW130" s="104" t="b">
        <f t="shared" si="1094"/>
        <v>0</v>
      </c>
      <c r="FX130" s="120" t="b">
        <f t="shared" si="1817"/>
        <v>1</v>
      </c>
      <c r="FY130" s="104" t="s">
        <v>214</v>
      </c>
      <c r="FZ130" s="104" t="b">
        <f t="shared" si="1818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19"/>
        <v>1</v>
      </c>
      <c r="GI130" s="8" t="b">
        <f t="shared" si="1820"/>
        <v>0</v>
      </c>
    </row>
    <row r="131" spans="1:192" s="31" customFormat="1" hidden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62"/>
        <v>нет минмакс</v>
      </c>
      <c r="Q131" s="95">
        <v>10</v>
      </c>
      <c r="R131" s="95">
        <f t="shared" si="1763"/>
        <v>631.30000000000007</v>
      </c>
      <c r="S131" s="112">
        <v>10</v>
      </c>
      <c r="T131" s="112">
        <v>631.30000000000007</v>
      </c>
      <c r="U131" s="112">
        <f t="shared" si="1764"/>
        <v>0</v>
      </c>
      <c r="V131" s="113">
        <f t="shared" si="1765"/>
        <v>10</v>
      </c>
      <c r="W131" s="113">
        <f t="shared" si="1766"/>
        <v>631.30000000000007</v>
      </c>
      <c r="X131" s="113">
        <f t="shared" si="1767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68"/>
        <v>0</v>
      </c>
      <c r="AF131" s="95">
        <f t="shared" si="1769"/>
        <v>0</v>
      </c>
      <c r="AG131" s="114">
        <v>0</v>
      </c>
      <c r="AH131" s="95">
        <f t="shared" si="1770"/>
        <v>10</v>
      </c>
      <c r="AI131" s="115">
        <f t="shared" si="1771"/>
        <v>631.30000000000007</v>
      </c>
      <c r="AJ131" s="95">
        <f t="shared" si="1772"/>
        <v>0</v>
      </c>
      <c r="AK131" s="95">
        <f t="shared" si="1773"/>
        <v>12</v>
      </c>
      <c r="AL131" s="95">
        <f t="shared" si="1774"/>
        <v>494</v>
      </c>
      <c r="AM131" s="95">
        <f t="shared" si="1775"/>
        <v>52</v>
      </c>
      <c r="AN131" s="95">
        <f t="shared" si="1776"/>
        <v>11.538461538461538</v>
      </c>
      <c r="AO131" s="95" t="str">
        <f t="shared" si="1777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78"/>
        <v>0-01</v>
      </c>
      <c r="AW131" s="117">
        <f t="shared" si="1779"/>
        <v>0</v>
      </c>
      <c r="AX131" s="118"/>
      <c r="AY131" s="25">
        <f t="shared" si="1780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81"/>
        <v>0</v>
      </c>
      <c r="BG131" s="29">
        <v>0</v>
      </c>
      <c r="BH131" s="29">
        <f t="shared" si="1782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83"/>
        <v>26</v>
      </c>
      <c r="BR131" s="95">
        <f t="shared" si="1784"/>
        <v>-16</v>
      </c>
      <c r="BS131" s="95">
        <f t="shared" si="1785"/>
        <v>-16</v>
      </c>
      <c r="BT131" s="95">
        <f t="shared" si="1785"/>
        <v>-42</v>
      </c>
      <c r="BU131" s="95">
        <f t="shared" si="1785"/>
        <v>-42</v>
      </c>
      <c r="BV131" s="95">
        <f t="shared" si="1785"/>
        <v>-42</v>
      </c>
      <c r="BW131" s="95">
        <f t="shared" si="1785"/>
        <v>-42</v>
      </c>
      <c r="BX131" s="95">
        <f t="shared" si="1786"/>
        <v>-68</v>
      </c>
      <c r="BY131" s="95">
        <f t="shared" si="1786"/>
        <v>-94</v>
      </c>
      <c r="BZ131" s="95">
        <f t="shared" si="1786"/>
        <v>-120</v>
      </c>
      <c r="CA131" s="95">
        <f t="shared" si="1786"/>
        <v>-146</v>
      </c>
      <c r="CB131" s="95">
        <f t="shared" si="1786"/>
        <v>-172</v>
      </c>
      <c r="CC131" s="95">
        <f t="shared" si="1786"/>
        <v>-198</v>
      </c>
      <c r="CD131" s="95">
        <f t="shared" si="1786"/>
        <v>-224</v>
      </c>
      <c r="CE131" s="95">
        <f t="shared" si="1786"/>
        <v>-250</v>
      </c>
      <c r="CF131" s="95">
        <f t="shared" si="1786"/>
        <v>-276</v>
      </c>
      <c r="CG131" s="95">
        <f t="shared" si="1786"/>
        <v>-302</v>
      </c>
      <c r="CH131" s="95">
        <f t="shared" si="1786"/>
        <v>-328</v>
      </c>
      <c r="CI131" s="95">
        <f t="shared" si="1786"/>
        <v>-354</v>
      </c>
      <c r="CJ131" s="95">
        <f t="shared" si="1786"/>
        <v>-380</v>
      </c>
      <c r="CK131" s="95">
        <f t="shared" si="1786"/>
        <v>-406</v>
      </c>
      <c r="CL131" s="95">
        <f t="shared" si="1786"/>
        <v>-432</v>
      </c>
      <c r="CM131" s="95">
        <f t="shared" si="1786"/>
        <v>-458</v>
      </c>
      <c r="CN131" s="95">
        <f t="shared" si="1786"/>
        <v>-484</v>
      </c>
      <c r="CO131" s="95">
        <f t="shared" si="1786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87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88"/>
        <v>0</v>
      </c>
      <c r="DB131" s="62">
        <f t="shared" si="1789"/>
        <v>0</v>
      </c>
      <c r="DC131" s="62">
        <f t="shared" si="1790"/>
        <v>0</v>
      </c>
      <c r="DD131" s="102">
        <f t="shared" si="1791"/>
        <v>0</v>
      </c>
      <c r="DE131" s="31">
        <v>0</v>
      </c>
      <c r="DF131" s="31">
        <v>90</v>
      </c>
      <c r="DG131" s="31">
        <v>0</v>
      </c>
      <c r="DH131" s="48">
        <f t="shared" si="1792"/>
        <v>0</v>
      </c>
      <c r="DI131" s="62">
        <v>475</v>
      </c>
      <c r="DJ131" s="62">
        <v>29986.059999999998</v>
      </c>
      <c r="DK131" s="48">
        <f t="shared" si="1793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94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95"/>
        <v>0</v>
      </c>
      <c r="DV131" s="62">
        <v>12</v>
      </c>
      <c r="DW131" s="62">
        <v>757.54293103448276</v>
      </c>
      <c r="DX131" s="62">
        <f t="shared" si="1796"/>
        <v>78</v>
      </c>
      <c r="DY131" s="62">
        <f t="shared" si="1797"/>
        <v>4924.1400000000003</v>
      </c>
      <c r="DZ131" s="48">
        <f t="shared" si="1798"/>
        <v>0</v>
      </c>
      <c r="EA131" s="62">
        <f t="shared" si="1799"/>
        <v>0</v>
      </c>
      <c r="EB131" s="62">
        <f t="shared" si="1800"/>
        <v>0</v>
      </c>
      <c r="EC131" s="48">
        <f t="shared" si="1801"/>
        <v>0</v>
      </c>
      <c r="ED131" s="62">
        <f t="shared" si="1802"/>
        <v>78</v>
      </c>
      <c r="EE131" s="62">
        <f t="shared" si="1803"/>
        <v>4924.1400000000003</v>
      </c>
      <c r="EF131" s="48">
        <f t="shared" si="1804"/>
        <v>0</v>
      </c>
      <c r="EG131" s="62">
        <f t="shared" si="1805"/>
        <v>0</v>
      </c>
      <c r="EH131" s="62">
        <f t="shared" si="1806"/>
        <v>0</v>
      </c>
      <c r="EI131" s="48">
        <f t="shared" si="1807"/>
        <v>0</v>
      </c>
      <c r="EJ131" s="62">
        <f t="shared" si="1808"/>
        <v>0</v>
      </c>
      <c r="EK131" s="62">
        <f t="shared" si="1809"/>
        <v>0</v>
      </c>
      <c r="EL131" s="48">
        <f t="shared" si="1810"/>
        <v>0</v>
      </c>
      <c r="EM131" s="62">
        <f t="shared" si="1811"/>
        <v>0</v>
      </c>
      <c r="EN131" s="62">
        <f t="shared" si="1812"/>
        <v>0</v>
      </c>
      <c r="EO131" s="48">
        <f t="shared" si="1813"/>
        <v>0</v>
      </c>
      <c r="EP131" s="62">
        <f t="shared" si="1814"/>
        <v>1641.38</v>
      </c>
      <c r="EQ131" s="62">
        <f t="shared" si="1814"/>
        <v>0</v>
      </c>
      <c r="ER131" s="62">
        <f t="shared" si="1814"/>
        <v>1641.38</v>
      </c>
      <c r="ES131" s="62">
        <f t="shared" si="1815"/>
        <v>0</v>
      </c>
      <c r="ET131" s="62">
        <f t="shared" si="1815"/>
        <v>0</v>
      </c>
      <c r="EU131" s="62">
        <f t="shared" si="1815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16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 t="shared" si="1034"/>
        <v>0</v>
      </c>
      <c r="FS131" s="103" t="b">
        <f t="shared" si="1035"/>
        <v>0</v>
      </c>
      <c r="FT131" s="103" t="b">
        <f t="shared" si="1036"/>
        <v>0</v>
      </c>
      <c r="FU131" s="103" t="b">
        <f t="shared" si="1037"/>
        <v>0</v>
      </c>
      <c r="FV131" s="103" t="b">
        <f t="shared" si="1038"/>
        <v>1</v>
      </c>
      <c r="FW131" s="104" t="b">
        <f t="shared" si="1094"/>
        <v>0</v>
      </c>
      <c r="FX131" s="120" t="b">
        <f t="shared" si="1817"/>
        <v>1</v>
      </c>
      <c r="FY131" s="104" t="s">
        <v>214</v>
      </c>
      <c r="FZ131" s="104" t="b">
        <f t="shared" si="1818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19"/>
        <v>1</v>
      </c>
      <c r="GI131" s="8" t="b">
        <f t="shared" si="1820"/>
        <v>0</v>
      </c>
    </row>
    <row r="132" spans="1:192" s="31" customFormat="1" hidden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62"/>
        <v>нет минмакс</v>
      </c>
      <c r="Q132" s="95">
        <v>0</v>
      </c>
      <c r="R132" s="95">
        <f t="shared" si="1763"/>
        <v>0</v>
      </c>
      <c r="S132" s="94">
        <v>0</v>
      </c>
      <c r="T132" s="94">
        <v>0</v>
      </c>
      <c r="U132" s="94">
        <f t="shared" si="1764"/>
        <v>0</v>
      </c>
      <c r="V132" s="94">
        <f t="shared" si="1765"/>
        <v>0</v>
      </c>
      <c r="W132" s="94">
        <f t="shared" si="1766"/>
        <v>0</v>
      </c>
      <c r="X132" s="94">
        <f t="shared" si="1767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68"/>
        <v>0</v>
      </c>
      <c r="AF132" s="95">
        <f t="shared" si="1769"/>
        <v>0</v>
      </c>
      <c r="AG132" s="96">
        <v>0</v>
      </c>
      <c r="AH132" s="95">
        <f t="shared" si="1770"/>
        <v>0</v>
      </c>
      <c r="AI132" s="94">
        <f t="shared" si="1771"/>
        <v>0</v>
      </c>
      <c r="AJ132" s="94">
        <f t="shared" si="1772"/>
        <v>0</v>
      </c>
      <c r="AK132" s="94">
        <f t="shared" si="1773"/>
        <v>449</v>
      </c>
      <c r="AL132" s="94">
        <f t="shared" si="1774"/>
        <v>887</v>
      </c>
      <c r="AM132" s="94">
        <f t="shared" si="1775"/>
        <v>1439.9999999999998</v>
      </c>
      <c r="AN132" s="94">
        <f t="shared" si="1776"/>
        <v>0</v>
      </c>
      <c r="AO132" s="94" t="str">
        <f t="shared" si="1777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78"/>
        <v>нет остатка</v>
      </c>
      <c r="AW132" s="98">
        <f t="shared" si="1779"/>
        <v>0</v>
      </c>
      <c r="AX132" s="93"/>
      <c r="AY132" s="94">
        <f t="shared" si="1780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81"/>
        <v>0</v>
      </c>
      <c r="BG132" s="29">
        <v>0</v>
      </c>
      <c r="BH132" s="29">
        <f t="shared" si="1782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83"/>
        <v>479.99999999999994</v>
      </c>
      <c r="BR132" s="95">
        <f t="shared" si="1784"/>
        <v>-479.99999999999994</v>
      </c>
      <c r="BS132" s="95">
        <f t="shared" si="1785"/>
        <v>-479.99999999999994</v>
      </c>
      <c r="BT132" s="95">
        <f t="shared" si="1785"/>
        <v>-959.99999999999989</v>
      </c>
      <c r="BU132" s="95">
        <f t="shared" si="1785"/>
        <v>-959.99999999999989</v>
      </c>
      <c r="BV132" s="95">
        <f t="shared" si="1785"/>
        <v>-1439.9999999999998</v>
      </c>
      <c r="BW132" s="95">
        <f t="shared" si="1785"/>
        <v>-1439.9999999999998</v>
      </c>
      <c r="BX132" s="95">
        <f t="shared" si="1786"/>
        <v>-1919.9999999999998</v>
      </c>
      <c r="BY132" s="95">
        <f t="shared" si="1786"/>
        <v>-2399.9999999999995</v>
      </c>
      <c r="BZ132" s="95">
        <f t="shared" si="1786"/>
        <v>-2879.9999999999995</v>
      </c>
      <c r="CA132" s="95">
        <f t="shared" si="1786"/>
        <v>-3359.9999999999995</v>
      </c>
      <c r="CB132" s="95">
        <f t="shared" si="1786"/>
        <v>-3839.9999999999995</v>
      </c>
      <c r="CC132" s="95">
        <f t="shared" si="1786"/>
        <v>-4319.9999999999991</v>
      </c>
      <c r="CD132" s="95">
        <f t="shared" si="1786"/>
        <v>-4799.9999999999991</v>
      </c>
      <c r="CE132" s="95">
        <f t="shared" si="1786"/>
        <v>-5279.9999999999991</v>
      </c>
      <c r="CF132" s="95">
        <f t="shared" si="1786"/>
        <v>-5759.9999999999991</v>
      </c>
      <c r="CG132" s="95">
        <f t="shared" si="1786"/>
        <v>-6239.9999999999991</v>
      </c>
      <c r="CH132" s="95">
        <f t="shared" si="1786"/>
        <v>-6719.9999999999991</v>
      </c>
      <c r="CI132" s="95">
        <f t="shared" si="1786"/>
        <v>-7199.9999999999991</v>
      </c>
      <c r="CJ132" s="95">
        <f t="shared" si="1786"/>
        <v>-7679.9999999999991</v>
      </c>
      <c r="CK132" s="95">
        <f t="shared" si="1786"/>
        <v>-8159.9999999999991</v>
      </c>
      <c r="CL132" s="95">
        <f t="shared" si="1786"/>
        <v>-8639.9999999999982</v>
      </c>
      <c r="CM132" s="95">
        <f t="shared" si="1786"/>
        <v>-9119.9999999999982</v>
      </c>
      <c r="CN132" s="95">
        <f t="shared" si="1786"/>
        <v>-9599.9999999999982</v>
      </c>
      <c r="CO132" s="95">
        <f t="shared" si="1786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87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88"/>
        <v>1.796</v>
      </c>
      <c r="DB132" s="62">
        <f t="shared" si="1789"/>
        <v>1428562.5</v>
      </c>
      <c r="DC132" s="62">
        <f t="shared" si="1790"/>
        <v>2565698.25</v>
      </c>
      <c r="DD132" s="102">
        <f t="shared" si="1791"/>
        <v>1.796</v>
      </c>
      <c r="DE132" s="31">
        <v>0</v>
      </c>
      <c r="DG132" s="31">
        <v>0</v>
      </c>
      <c r="DH132" s="48">
        <f t="shared" si="1792"/>
        <v>0</v>
      </c>
      <c r="DI132" s="62">
        <v>0</v>
      </c>
      <c r="DJ132" s="62">
        <v>0</v>
      </c>
      <c r="DK132" s="48">
        <f t="shared" si="1793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94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95"/>
        <v>3</v>
      </c>
      <c r="DV132" s="62">
        <v>449</v>
      </c>
      <c r="DW132" s="62">
        <v>2481684.2198173515</v>
      </c>
      <c r="DX132" s="62">
        <f t="shared" si="1796"/>
        <v>0</v>
      </c>
      <c r="DY132" s="62">
        <f t="shared" si="1797"/>
        <v>0</v>
      </c>
      <c r="DZ132" s="48">
        <f t="shared" si="1798"/>
        <v>0</v>
      </c>
      <c r="EA132" s="62">
        <f t="shared" si="1799"/>
        <v>0</v>
      </c>
      <c r="EB132" s="62">
        <f t="shared" si="1800"/>
        <v>0</v>
      </c>
      <c r="EC132" s="48">
        <f t="shared" si="1801"/>
        <v>0</v>
      </c>
      <c r="ED132" s="62">
        <f t="shared" si="1802"/>
        <v>0</v>
      </c>
      <c r="EE132" s="62">
        <f t="shared" si="1803"/>
        <v>0</v>
      </c>
      <c r="EF132" s="48">
        <f t="shared" si="1804"/>
        <v>0</v>
      </c>
      <c r="EG132" s="62">
        <f t="shared" si="1805"/>
        <v>0</v>
      </c>
      <c r="EH132" s="62">
        <f t="shared" si="1806"/>
        <v>0</v>
      </c>
      <c r="EI132" s="48">
        <f t="shared" si="1807"/>
        <v>0</v>
      </c>
      <c r="EJ132" s="62">
        <f t="shared" si="1808"/>
        <v>0</v>
      </c>
      <c r="EK132" s="62">
        <f t="shared" si="1809"/>
        <v>0</v>
      </c>
      <c r="EL132" s="48">
        <f t="shared" si="1810"/>
        <v>0</v>
      </c>
      <c r="EM132" s="62">
        <f t="shared" si="1811"/>
        <v>0</v>
      </c>
      <c r="EN132" s="62">
        <f t="shared" si="1812"/>
        <v>0</v>
      </c>
      <c r="EO132" s="48">
        <f t="shared" si="1813"/>
        <v>0</v>
      </c>
      <c r="EP132" s="62">
        <f t="shared" si="1814"/>
        <v>2742839.9999999995</v>
      </c>
      <c r="EQ132" s="62">
        <f t="shared" si="1814"/>
        <v>0</v>
      </c>
      <c r="ER132" s="62">
        <f t="shared" si="1814"/>
        <v>2742839.9999999995</v>
      </c>
      <c r="ES132" s="62">
        <f t="shared" si="1815"/>
        <v>0</v>
      </c>
      <c r="ET132" s="62">
        <f t="shared" si="1815"/>
        <v>2742839.9999999995</v>
      </c>
      <c r="EU132" s="62">
        <f t="shared" si="1815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16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 t="shared" si="1034"/>
        <v>0</v>
      </c>
      <c r="FS132" s="104" t="b">
        <f t="shared" si="1035"/>
        <v>0</v>
      </c>
      <c r="FT132" s="104" t="b">
        <f t="shared" si="1036"/>
        <v>0</v>
      </c>
      <c r="FU132" s="104" t="b">
        <f t="shared" si="1037"/>
        <v>0</v>
      </c>
      <c r="FV132" s="104" t="b">
        <f t="shared" si="1038"/>
        <v>1</v>
      </c>
      <c r="FW132" s="104" t="b">
        <f t="shared" si="1094"/>
        <v>0</v>
      </c>
      <c r="FX132" s="104" t="b">
        <f t="shared" si="1817"/>
        <v>1</v>
      </c>
      <c r="FY132" s="104" t="s">
        <v>214</v>
      </c>
      <c r="FZ132" s="104" t="b">
        <f t="shared" si="1818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19"/>
        <v>1</v>
      </c>
      <c r="GI132" s="108" t="b">
        <f t="shared" si="1820"/>
        <v>0</v>
      </c>
    </row>
    <row r="133" spans="1:192" s="31" customFormat="1" hidden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62"/>
        <v>нет минмакс</v>
      </c>
      <c r="Q133" s="95">
        <v>147</v>
      </c>
      <c r="R133" s="95">
        <f t="shared" si="1763"/>
        <v>34981.589999999997</v>
      </c>
      <c r="S133" s="112">
        <v>147</v>
      </c>
      <c r="T133" s="112">
        <v>34983.06</v>
      </c>
      <c r="U133" s="112">
        <f t="shared" si="1764"/>
        <v>6</v>
      </c>
      <c r="V133" s="113">
        <f t="shared" si="1765"/>
        <v>146</v>
      </c>
      <c r="W133" s="113">
        <f t="shared" si="1766"/>
        <v>34743.620000000003</v>
      </c>
      <c r="X133" s="113">
        <f t="shared" si="1767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68"/>
        <v>0</v>
      </c>
      <c r="AF133" s="95">
        <f t="shared" si="1769"/>
        <v>0</v>
      </c>
      <c r="AG133" s="114">
        <v>0</v>
      </c>
      <c r="AH133" s="95">
        <f t="shared" si="1770"/>
        <v>146</v>
      </c>
      <c r="AI133" s="115">
        <f t="shared" si="1771"/>
        <v>34743.620000000003</v>
      </c>
      <c r="AJ133" s="95">
        <f t="shared" si="1772"/>
        <v>0</v>
      </c>
      <c r="AK133" s="95">
        <f t="shared" si="1773"/>
        <v>453</v>
      </c>
      <c r="AL133" s="95">
        <f t="shared" si="1774"/>
        <v>891</v>
      </c>
      <c r="AM133" s="95">
        <f t="shared" si="1775"/>
        <v>1440</v>
      </c>
      <c r="AN133" s="95">
        <f t="shared" si="1776"/>
        <v>9.1875</v>
      </c>
      <c r="AO133" s="95" t="str">
        <f t="shared" si="1777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78"/>
        <v>0-01</v>
      </c>
      <c r="AW133" s="117">
        <f t="shared" si="1779"/>
        <v>0</v>
      </c>
      <c r="AX133" s="118"/>
      <c r="AY133" s="25">
        <f t="shared" si="1780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81"/>
        <v>0</v>
      </c>
      <c r="BG133" s="29">
        <v>0</v>
      </c>
      <c r="BH133" s="29">
        <f t="shared" si="1782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83"/>
        <v>480</v>
      </c>
      <c r="BR133" s="95">
        <f t="shared" si="1784"/>
        <v>-333</v>
      </c>
      <c r="BS133" s="95">
        <f t="shared" si="1785"/>
        <v>-333</v>
      </c>
      <c r="BT133" s="95">
        <f t="shared" si="1785"/>
        <v>-813</v>
      </c>
      <c r="BU133" s="95">
        <f t="shared" si="1785"/>
        <v>-813</v>
      </c>
      <c r="BV133" s="95">
        <f t="shared" si="1785"/>
        <v>-1293</v>
      </c>
      <c r="BW133" s="95">
        <f t="shared" si="1785"/>
        <v>-1293</v>
      </c>
      <c r="BX133" s="95">
        <f t="shared" si="1786"/>
        <v>-1773</v>
      </c>
      <c r="BY133" s="95">
        <f t="shared" si="1786"/>
        <v>-2253</v>
      </c>
      <c r="BZ133" s="95">
        <f t="shared" si="1786"/>
        <v>-2733</v>
      </c>
      <c r="CA133" s="95">
        <f t="shared" si="1786"/>
        <v>-3213</v>
      </c>
      <c r="CB133" s="95">
        <f t="shared" si="1786"/>
        <v>-3693</v>
      </c>
      <c r="CC133" s="95">
        <f t="shared" si="1786"/>
        <v>-4173</v>
      </c>
      <c r="CD133" s="95">
        <f t="shared" si="1786"/>
        <v>-4653</v>
      </c>
      <c r="CE133" s="95">
        <f t="shared" si="1786"/>
        <v>-5133</v>
      </c>
      <c r="CF133" s="95">
        <f t="shared" si="1786"/>
        <v>-5613</v>
      </c>
      <c r="CG133" s="95">
        <f t="shared" si="1786"/>
        <v>-6093</v>
      </c>
      <c r="CH133" s="95">
        <f t="shared" si="1786"/>
        <v>-6573</v>
      </c>
      <c r="CI133" s="95">
        <f t="shared" si="1786"/>
        <v>-7053</v>
      </c>
      <c r="CJ133" s="95">
        <f t="shared" si="1786"/>
        <v>-7533</v>
      </c>
      <c r="CK133" s="95">
        <f t="shared" si="1786"/>
        <v>-8013</v>
      </c>
      <c r="CL133" s="95">
        <f t="shared" si="1786"/>
        <v>-8493</v>
      </c>
      <c r="CM133" s="95">
        <f t="shared" si="1786"/>
        <v>-8973</v>
      </c>
      <c r="CN133" s="95">
        <f t="shared" si="1786"/>
        <v>-9453</v>
      </c>
      <c r="CO133" s="95">
        <f t="shared" si="1786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87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88"/>
        <v>0</v>
      </c>
      <c r="DB133" s="62">
        <f t="shared" si="1789"/>
        <v>0</v>
      </c>
      <c r="DC133" s="62">
        <f t="shared" si="1790"/>
        <v>0</v>
      </c>
      <c r="DD133" s="102">
        <f t="shared" si="1791"/>
        <v>0</v>
      </c>
      <c r="DE133" s="31">
        <v>0</v>
      </c>
      <c r="DF133" s="31">
        <v>30</v>
      </c>
      <c r="DG133" s="31">
        <v>0</v>
      </c>
      <c r="DH133" s="48">
        <f t="shared" si="1792"/>
        <v>0</v>
      </c>
      <c r="DI133" s="62">
        <v>24</v>
      </c>
      <c r="DJ133" s="62">
        <v>5706.1030000000001</v>
      </c>
      <c r="DK133" s="48">
        <f t="shared" si="1793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94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95"/>
        <v>6</v>
      </c>
      <c r="DV133" s="62">
        <v>453</v>
      </c>
      <c r="DW133" s="62">
        <v>107702.63750000001</v>
      </c>
      <c r="DX133" s="62">
        <f t="shared" si="1796"/>
        <v>480</v>
      </c>
      <c r="DY133" s="62">
        <f t="shared" si="1797"/>
        <v>114225.60000000001</v>
      </c>
      <c r="DZ133" s="48">
        <f t="shared" si="1798"/>
        <v>15</v>
      </c>
      <c r="EA133" s="62">
        <f t="shared" si="1799"/>
        <v>0</v>
      </c>
      <c r="EB133" s="62">
        <f t="shared" si="1800"/>
        <v>0</v>
      </c>
      <c r="EC133" s="48">
        <f t="shared" si="1801"/>
        <v>0</v>
      </c>
      <c r="ED133" s="62">
        <f t="shared" si="1802"/>
        <v>480</v>
      </c>
      <c r="EE133" s="62">
        <f t="shared" si="1803"/>
        <v>114225.60000000001</v>
      </c>
      <c r="EF133" s="48">
        <f t="shared" si="1804"/>
        <v>15</v>
      </c>
      <c r="EG133" s="62">
        <f t="shared" si="1805"/>
        <v>0</v>
      </c>
      <c r="EH133" s="62">
        <f t="shared" si="1806"/>
        <v>0</v>
      </c>
      <c r="EI133" s="48">
        <f t="shared" si="1807"/>
        <v>0</v>
      </c>
      <c r="EJ133" s="62">
        <f t="shared" si="1808"/>
        <v>480</v>
      </c>
      <c r="EK133" s="62">
        <f t="shared" si="1809"/>
        <v>114225.60000000001</v>
      </c>
      <c r="EL133" s="48">
        <f t="shared" si="1810"/>
        <v>15</v>
      </c>
      <c r="EM133" s="62">
        <f t="shared" si="1811"/>
        <v>0</v>
      </c>
      <c r="EN133" s="62">
        <f t="shared" si="1812"/>
        <v>0</v>
      </c>
      <c r="EO133" s="48">
        <f t="shared" si="1813"/>
        <v>0</v>
      </c>
      <c r="EP133" s="62">
        <f t="shared" si="1814"/>
        <v>114225.60000000001</v>
      </c>
      <c r="EQ133" s="62">
        <f t="shared" si="1814"/>
        <v>0</v>
      </c>
      <c r="ER133" s="62">
        <f t="shared" si="1814"/>
        <v>114225.60000000001</v>
      </c>
      <c r="ES133" s="62">
        <f t="shared" si="1815"/>
        <v>0</v>
      </c>
      <c r="ET133" s="62">
        <f t="shared" si="1815"/>
        <v>114225.60000000001</v>
      </c>
      <c r="EU133" s="62">
        <f t="shared" si="1815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16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 t="shared" si="1034"/>
        <v>1</v>
      </c>
      <c r="FS133" s="103" t="b">
        <f t="shared" si="1035"/>
        <v>1</v>
      </c>
      <c r="FT133" s="103" t="b">
        <f t="shared" si="1036"/>
        <v>1</v>
      </c>
      <c r="FU133" s="103" t="b">
        <f t="shared" si="1037"/>
        <v>0</v>
      </c>
      <c r="FV133" s="103" t="b">
        <f t="shared" si="1038"/>
        <v>1</v>
      </c>
      <c r="FW133" s="104" t="b">
        <f t="shared" si="1094"/>
        <v>0</v>
      </c>
      <c r="FX133" s="120" t="b">
        <f t="shared" si="1817"/>
        <v>1</v>
      </c>
      <c r="FY133" s="104" t="s">
        <v>214</v>
      </c>
      <c r="FZ133" s="104" t="b">
        <f t="shared" si="1818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19"/>
        <v>1</v>
      </c>
      <c r="GI133" s="8" t="b">
        <f t="shared" si="1820"/>
        <v>0</v>
      </c>
    </row>
    <row r="134" spans="1:192" s="31" customFormat="1" hidden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62"/>
        <v>нет минмакс</v>
      </c>
      <c r="Q134" s="95">
        <v>151</v>
      </c>
      <c r="R134" s="95">
        <f t="shared" si="1763"/>
        <v>16459</v>
      </c>
      <c r="S134" s="112">
        <v>151</v>
      </c>
      <c r="T134" s="112">
        <v>16459</v>
      </c>
      <c r="U134" s="112">
        <f t="shared" si="1764"/>
        <v>6</v>
      </c>
      <c r="V134" s="113">
        <f t="shared" si="1765"/>
        <v>151</v>
      </c>
      <c r="W134" s="113">
        <f t="shared" si="1766"/>
        <v>16459</v>
      </c>
      <c r="X134" s="113">
        <f t="shared" si="1767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68"/>
        <v>0</v>
      </c>
      <c r="AF134" s="95">
        <f t="shared" si="1769"/>
        <v>0</v>
      </c>
      <c r="AG134" s="114">
        <v>0</v>
      </c>
      <c r="AH134" s="95">
        <f t="shared" si="1770"/>
        <v>151</v>
      </c>
      <c r="AI134" s="115">
        <f t="shared" si="1771"/>
        <v>16459</v>
      </c>
      <c r="AJ134" s="95">
        <f t="shared" si="1772"/>
        <v>0</v>
      </c>
      <c r="AK134" s="95">
        <f t="shared" si="1773"/>
        <v>449</v>
      </c>
      <c r="AL134" s="95">
        <f t="shared" si="1774"/>
        <v>887</v>
      </c>
      <c r="AM134" s="95">
        <f t="shared" si="1775"/>
        <v>1440</v>
      </c>
      <c r="AN134" s="95">
        <f t="shared" si="1776"/>
        <v>9.4375</v>
      </c>
      <c r="AO134" s="95" t="str">
        <f t="shared" si="1777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78"/>
        <v>0-01</v>
      </c>
      <c r="AW134" s="117">
        <f t="shared" si="1779"/>
        <v>0</v>
      </c>
      <c r="AX134" s="118"/>
      <c r="AY134" s="25">
        <f t="shared" si="1780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81"/>
        <v>0</v>
      </c>
      <c r="BG134" s="29">
        <v>0</v>
      </c>
      <c r="BH134" s="29">
        <f t="shared" si="1782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83"/>
        <v>480</v>
      </c>
      <c r="BR134" s="95">
        <f t="shared" si="1784"/>
        <v>-329</v>
      </c>
      <c r="BS134" s="95">
        <f t="shared" si="1785"/>
        <v>-329</v>
      </c>
      <c r="BT134" s="95">
        <f t="shared" si="1785"/>
        <v>-809</v>
      </c>
      <c r="BU134" s="95">
        <f t="shared" si="1785"/>
        <v>-809</v>
      </c>
      <c r="BV134" s="95">
        <f t="shared" si="1785"/>
        <v>-1289</v>
      </c>
      <c r="BW134" s="95">
        <f t="shared" si="1785"/>
        <v>-1289</v>
      </c>
      <c r="BX134" s="95">
        <f t="shared" si="1786"/>
        <v>-1769</v>
      </c>
      <c r="BY134" s="95">
        <f t="shared" si="1786"/>
        <v>-2249</v>
      </c>
      <c r="BZ134" s="95">
        <f t="shared" si="1786"/>
        <v>-2729</v>
      </c>
      <c r="CA134" s="95">
        <f t="shared" si="1786"/>
        <v>-3209</v>
      </c>
      <c r="CB134" s="95">
        <f t="shared" si="1786"/>
        <v>-3689</v>
      </c>
      <c r="CC134" s="95">
        <f t="shared" si="1786"/>
        <v>-4169</v>
      </c>
      <c r="CD134" s="95">
        <f t="shared" si="1786"/>
        <v>-4649</v>
      </c>
      <c r="CE134" s="95">
        <f t="shared" si="1786"/>
        <v>-5129</v>
      </c>
      <c r="CF134" s="95">
        <f t="shared" si="1786"/>
        <v>-5609</v>
      </c>
      <c r="CG134" s="95">
        <f t="shared" si="1786"/>
        <v>-6089</v>
      </c>
      <c r="CH134" s="95">
        <f t="shared" si="1786"/>
        <v>-6569</v>
      </c>
      <c r="CI134" s="95">
        <f t="shared" si="1786"/>
        <v>-7049</v>
      </c>
      <c r="CJ134" s="95">
        <f t="shared" si="1786"/>
        <v>-7529</v>
      </c>
      <c r="CK134" s="95">
        <f t="shared" si="1786"/>
        <v>-8009</v>
      </c>
      <c r="CL134" s="95">
        <f t="shared" si="1786"/>
        <v>-8489</v>
      </c>
      <c r="CM134" s="95">
        <f t="shared" si="1786"/>
        <v>-8969</v>
      </c>
      <c r="CN134" s="95">
        <f t="shared" si="1786"/>
        <v>-9449</v>
      </c>
      <c r="CO134" s="95">
        <f t="shared" si="1786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87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88"/>
        <v>0</v>
      </c>
      <c r="DB134" s="62">
        <f t="shared" si="1789"/>
        <v>0</v>
      </c>
      <c r="DC134" s="62">
        <f t="shared" si="1790"/>
        <v>0</v>
      </c>
      <c r="DD134" s="102">
        <f t="shared" si="1791"/>
        <v>0</v>
      </c>
      <c r="DE134" s="31">
        <v>0</v>
      </c>
      <c r="DF134" s="31">
        <v>30</v>
      </c>
      <c r="DG134" s="31">
        <v>0</v>
      </c>
      <c r="DH134" s="48">
        <f t="shared" si="1792"/>
        <v>0</v>
      </c>
      <c r="DI134" s="62">
        <v>24</v>
      </c>
      <c r="DJ134" s="62">
        <v>2616</v>
      </c>
      <c r="DK134" s="48">
        <f t="shared" si="1793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94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95"/>
        <v>6</v>
      </c>
      <c r="DV134" s="62">
        <v>449</v>
      </c>
      <c r="DW134" s="62">
        <v>48941</v>
      </c>
      <c r="DX134" s="62">
        <f t="shared" si="1796"/>
        <v>480</v>
      </c>
      <c r="DY134" s="62">
        <f t="shared" si="1797"/>
        <v>52320</v>
      </c>
      <c r="DZ134" s="48">
        <f t="shared" si="1798"/>
        <v>15</v>
      </c>
      <c r="EA134" s="62">
        <f t="shared" si="1799"/>
        <v>0</v>
      </c>
      <c r="EB134" s="62">
        <f t="shared" si="1800"/>
        <v>0</v>
      </c>
      <c r="EC134" s="48">
        <f t="shared" si="1801"/>
        <v>0</v>
      </c>
      <c r="ED134" s="62">
        <f t="shared" si="1802"/>
        <v>480</v>
      </c>
      <c r="EE134" s="62">
        <f t="shared" si="1803"/>
        <v>52320</v>
      </c>
      <c r="EF134" s="48">
        <f t="shared" si="1804"/>
        <v>15</v>
      </c>
      <c r="EG134" s="62">
        <f t="shared" si="1805"/>
        <v>0</v>
      </c>
      <c r="EH134" s="62">
        <f t="shared" si="1806"/>
        <v>0</v>
      </c>
      <c r="EI134" s="48">
        <f t="shared" si="1807"/>
        <v>0</v>
      </c>
      <c r="EJ134" s="62">
        <f t="shared" si="1808"/>
        <v>480</v>
      </c>
      <c r="EK134" s="62">
        <f t="shared" si="1809"/>
        <v>52320</v>
      </c>
      <c r="EL134" s="48">
        <f t="shared" si="1810"/>
        <v>15</v>
      </c>
      <c r="EM134" s="62">
        <f t="shared" si="1811"/>
        <v>0</v>
      </c>
      <c r="EN134" s="62">
        <f t="shared" si="1812"/>
        <v>0</v>
      </c>
      <c r="EO134" s="48">
        <f t="shared" si="1813"/>
        <v>0</v>
      </c>
      <c r="EP134" s="62">
        <f t="shared" si="1814"/>
        <v>52320</v>
      </c>
      <c r="EQ134" s="62">
        <f t="shared" si="1814"/>
        <v>0</v>
      </c>
      <c r="ER134" s="62">
        <f t="shared" si="1814"/>
        <v>52320</v>
      </c>
      <c r="ES134" s="62">
        <f t="shared" si="1815"/>
        <v>0</v>
      </c>
      <c r="ET134" s="62">
        <f t="shared" si="1815"/>
        <v>52320</v>
      </c>
      <c r="EU134" s="62">
        <f t="shared" si="1815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16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 t="shared" si="1034"/>
        <v>1</v>
      </c>
      <c r="FS134" s="103" t="b">
        <f t="shared" si="1035"/>
        <v>1</v>
      </c>
      <c r="FT134" s="103" t="b">
        <f t="shared" si="1036"/>
        <v>1</v>
      </c>
      <c r="FU134" s="103" t="b">
        <f t="shared" si="1037"/>
        <v>0</v>
      </c>
      <c r="FV134" s="103" t="b">
        <f t="shared" si="1038"/>
        <v>1</v>
      </c>
      <c r="FW134" s="104" t="b">
        <f t="shared" si="1094"/>
        <v>0</v>
      </c>
      <c r="FX134" s="120" t="b">
        <f t="shared" si="1817"/>
        <v>1</v>
      </c>
      <c r="FY134" s="104" t="s">
        <v>214</v>
      </c>
      <c r="FZ134" s="104" t="b">
        <f t="shared" si="1818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19"/>
        <v>1</v>
      </c>
      <c r="GI134" s="8" t="b">
        <f t="shared" si="1820"/>
        <v>0</v>
      </c>
    </row>
    <row r="135" spans="1:192" s="31" customFormat="1" hidden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62"/>
        <v>нет минмакс</v>
      </c>
      <c r="Q135" s="95">
        <v>103</v>
      </c>
      <c r="R135" s="95">
        <f t="shared" si="1763"/>
        <v>6675.43</v>
      </c>
      <c r="S135" s="112">
        <v>103</v>
      </c>
      <c r="T135" s="112">
        <v>6644.5300000000007</v>
      </c>
      <c r="U135" s="112">
        <f t="shared" si="1764"/>
        <v>0</v>
      </c>
      <c r="V135" s="113">
        <f t="shared" si="1765"/>
        <v>103</v>
      </c>
      <c r="W135" s="113">
        <f t="shared" si="1766"/>
        <v>6675.43</v>
      </c>
      <c r="X135" s="113">
        <f t="shared" si="1767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68"/>
        <v>0</v>
      </c>
      <c r="AF135" s="95">
        <f t="shared" si="1769"/>
        <v>0</v>
      </c>
      <c r="AG135" s="114">
        <v>0</v>
      </c>
      <c r="AH135" s="95">
        <f t="shared" si="1770"/>
        <v>103</v>
      </c>
      <c r="AI135" s="115">
        <f t="shared" si="1771"/>
        <v>6675.43</v>
      </c>
      <c r="AJ135" s="95">
        <f t="shared" si="1772"/>
        <v>0</v>
      </c>
      <c r="AK135" s="95">
        <f t="shared" si="1773"/>
        <v>459</v>
      </c>
      <c r="AL135" s="95">
        <f t="shared" si="1774"/>
        <v>897</v>
      </c>
      <c r="AM135" s="95">
        <f t="shared" si="1775"/>
        <v>1440</v>
      </c>
      <c r="AN135" s="95">
        <f t="shared" si="1776"/>
        <v>6.4375</v>
      </c>
      <c r="AO135" s="95" t="str">
        <f t="shared" si="1777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78"/>
        <v>0-01</v>
      </c>
      <c r="AW135" s="117">
        <f t="shared" si="1779"/>
        <v>0</v>
      </c>
      <c r="AX135" s="118"/>
      <c r="AY135" s="25">
        <f t="shared" si="1780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81"/>
        <v>0</v>
      </c>
      <c r="BG135" s="29">
        <v>0</v>
      </c>
      <c r="BH135" s="29">
        <f t="shared" si="1782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83"/>
        <v>480</v>
      </c>
      <c r="BR135" s="95">
        <f t="shared" si="1784"/>
        <v>-377</v>
      </c>
      <c r="BS135" s="95">
        <f t="shared" si="1785"/>
        <v>-377</v>
      </c>
      <c r="BT135" s="95">
        <f t="shared" si="1785"/>
        <v>-857</v>
      </c>
      <c r="BU135" s="95">
        <f t="shared" si="1785"/>
        <v>-857</v>
      </c>
      <c r="BV135" s="95">
        <f t="shared" si="1785"/>
        <v>-1337</v>
      </c>
      <c r="BW135" s="95">
        <f t="shared" si="1785"/>
        <v>-1337</v>
      </c>
      <c r="BX135" s="95">
        <f t="shared" si="1786"/>
        <v>-1817</v>
      </c>
      <c r="BY135" s="95">
        <f t="shared" si="1786"/>
        <v>-2297</v>
      </c>
      <c r="BZ135" s="95">
        <f t="shared" si="1786"/>
        <v>-2777</v>
      </c>
      <c r="CA135" s="95">
        <f t="shared" si="1786"/>
        <v>-3257</v>
      </c>
      <c r="CB135" s="95">
        <f t="shared" si="1786"/>
        <v>-3737</v>
      </c>
      <c r="CC135" s="95">
        <f t="shared" si="1786"/>
        <v>-4217</v>
      </c>
      <c r="CD135" s="95">
        <f t="shared" si="1786"/>
        <v>-4697</v>
      </c>
      <c r="CE135" s="95">
        <f t="shared" si="1786"/>
        <v>-5177</v>
      </c>
      <c r="CF135" s="95">
        <f t="shared" si="1786"/>
        <v>-5657</v>
      </c>
      <c r="CG135" s="95">
        <f t="shared" si="1786"/>
        <v>-6137</v>
      </c>
      <c r="CH135" s="95">
        <f t="shared" si="1786"/>
        <v>-6617</v>
      </c>
      <c r="CI135" s="95">
        <f t="shared" si="1786"/>
        <v>-7097</v>
      </c>
      <c r="CJ135" s="95">
        <f t="shared" si="1786"/>
        <v>-7577</v>
      </c>
      <c r="CK135" s="95">
        <f t="shared" si="1786"/>
        <v>-8057</v>
      </c>
      <c r="CL135" s="95">
        <f t="shared" si="1786"/>
        <v>-8537</v>
      </c>
      <c r="CM135" s="95">
        <f t="shared" si="1786"/>
        <v>-9017</v>
      </c>
      <c r="CN135" s="95">
        <f t="shared" si="1786"/>
        <v>-9497</v>
      </c>
      <c r="CO135" s="95">
        <f t="shared" si="1786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87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88"/>
        <v>0</v>
      </c>
      <c r="DB135" s="62">
        <f t="shared" si="1789"/>
        <v>0</v>
      </c>
      <c r="DC135" s="62">
        <f t="shared" si="1790"/>
        <v>0</v>
      </c>
      <c r="DD135" s="102">
        <f t="shared" si="1791"/>
        <v>0</v>
      </c>
      <c r="DE135" s="31">
        <v>0</v>
      </c>
      <c r="DF135" s="31">
        <v>90</v>
      </c>
      <c r="DG135" s="31">
        <v>0</v>
      </c>
      <c r="DH135" s="48">
        <f t="shared" si="1792"/>
        <v>0</v>
      </c>
      <c r="DI135" s="62">
        <v>62</v>
      </c>
      <c r="DJ135" s="62">
        <v>4536.47</v>
      </c>
      <c r="DK135" s="48">
        <f t="shared" si="1793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94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95"/>
        <v>0</v>
      </c>
      <c r="DV135" s="62">
        <v>459</v>
      </c>
      <c r="DW135" s="62">
        <v>33584.497560000003</v>
      </c>
      <c r="DX135" s="62">
        <f t="shared" si="1796"/>
        <v>1440</v>
      </c>
      <c r="DY135" s="62">
        <f t="shared" si="1797"/>
        <v>93326.400000000009</v>
      </c>
      <c r="DZ135" s="48">
        <f t="shared" si="1798"/>
        <v>0</v>
      </c>
      <c r="EA135" s="62">
        <f t="shared" si="1799"/>
        <v>0</v>
      </c>
      <c r="EB135" s="62">
        <f t="shared" si="1800"/>
        <v>0</v>
      </c>
      <c r="EC135" s="48">
        <f t="shared" si="1801"/>
        <v>0</v>
      </c>
      <c r="ED135" s="62">
        <f t="shared" si="1802"/>
        <v>1440</v>
      </c>
      <c r="EE135" s="62">
        <f t="shared" si="1803"/>
        <v>93326.400000000009</v>
      </c>
      <c r="EF135" s="48">
        <f t="shared" si="1804"/>
        <v>0</v>
      </c>
      <c r="EG135" s="62">
        <f t="shared" si="1805"/>
        <v>0</v>
      </c>
      <c r="EH135" s="62">
        <f t="shared" si="1806"/>
        <v>0</v>
      </c>
      <c r="EI135" s="48">
        <f t="shared" si="1807"/>
        <v>0</v>
      </c>
      <c r="EJ135" s="62">
        <f t="shared" si="1808"/>
        <v>1440</v>
      </c>
      <c r="EK135" s="62">
        <f t="shared" si="1809"/>
        <v>93326.400000000009</v>
      </c>
      <c r="EL135" s="48">
        <f t="shared" si="1810"/>
        <v>0</v>
      </c>
      <c r="EM135" s="62">
        <f t="shared" si="1811"/>
        <v>0</v>
      </c>
      <c r="EN135" s="62">
        <f t="shared" si="1812"/>
        <v>0</v>
      </c>
      <c r="EO135" s="48">
        <f t="shared" si="1813"/>
        <v>0</v>
      </c>
      <c r="EP135" s="62">
        <f t="shared" si="1814"/>
        <v>31108.800000000003</v>
      </c>
      <c r="EQ135" s="62">
        <f t="shared" si="1814"/>
        <v>0</v>
      </c>
      <c r="ER135" s="62">
        <f t="shared" si="1814"/>
        <v>31108.800000000003</v>
      </c>
      <c r="ES135" s="62">
        <f t="shared" si="1815"/>
        <v>0</v>
      </c>
      <c r="ET135" s="62">
        <f t="shared" si="1815"/>
        <v>31108.800000000003</v>
      </c>
      <c r="EU135" s="62">
        <f t="shared" si="1815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16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 t="shared" ref="FR135:FR198" si="1821">EXACT(FK135,BA135)</f>
        <v>1</v>
      </c>
      <c r="FS135" s="103" t="b">
        <f t="shared" ref="FS135:FS198" si="1822">EXACT(FL135,BB135)</f>
        <v>1</v>
      </c>
      <c r="FT135" s="103" t="b">
        <f t="shared" ref="FT135:FT198" si="1823">EXACT(FM135,BC135)</f>
        <v>1</v>
      </c>
      <c r="FU135" s="103" t="b">
        <f t="shared" ref="FU135:FU198" si="1824">EXACT(FN135,BD135)</f>
        <v>0</v>
      </c>
      <c r="FV135" s="103" t="b">
        <f t="shared" ref="FV135:FV198" si="1825">EXACT(FO135,BE135)</f>
        <v>1</v>
      </c>
      <c r="FW135" s="104" t="b">
        <f t="shared" si="1094"/>
        <v>0</v>
      </c>
      <c r="FX135" s="120" t="b">
        <f t="shared" si="1817"/>
        <v>1</v>
      </c>
      <c r="FY135" s="104" t="s">
        <v>214</v>
      </c>
      <c r="FZ135" s="104" t="b">
        <f t="shared" si="1818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19"/>
        <v>1</v>
      </c>
      <c r="GI135" s="8" t="b">
        <f t="shared" si="1820"/>
        <v>0</v>
      </c>
    </row>
    <row r="136" spans="1:192" x14ac:dyDescent="0.25">
      <c r="A136" s="130">
        <v>87798</v>
      </c>
      <c r="B136" s="130">
        <v>990370</v>
      </c>
      <c r="C136" s="128" t="s">
        <v>491</v>
      </c>
      <c r="D136" s="130"/>
      <c r="E136" s="130" t="s">
        <v>492</v>
      </c>
      <c r="F136" s="109" t="s">
        <v>193</v>
      </c>
      <c r="G136" s="128" t="s">
        <v>187</v>
      </c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26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27">Q136*FH136</f>
        <v>6629277.496599121</v>
      </c>
      <c r="S136" s="131">
        <v>2525.5</v>
      </c>
      <c r="T136" s="131">
        <v>10184154.515000001</v>
      </c>
      <c r="U136" s="131">
        <f t="shared" ref="U136:U140" si="1828">IFERROR(ROUNDUP(S136/$EX136,0)*$EY136,0)</f>
        <v>9</v>
      </c>
      <c r="V136" s="113">
        <f t="shared" ref="V136:V140" si="1829">SUM(Z136:AD136)</f>
        <v>1167.699951171875</v>
      </c>
      <c r="W136" s="113">
        <f t="shared" ref="W136:W140" si="1830">V136*FH136</f>
        <v>4708785.0840991214</v>
      </c>
      <c r="X136" s="113">
        <f t="shared" ref="X136:X140" si="1831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32">AA136*FH136</f>
        <v>0</v>
      </c>
      <c r="AF136" s="95">
        <f t="shared" ref="AF136:AF140" si="1833">AB136*FH136</f>
        <v>0</v>
      </c>
      <c r="AG136" s="114">
        <v>0</v>
      </c>
      <c r="AH136" s="95">
        <f t="shared" ref="AH136:AH140" si="1834">V136-AG136</f>
        <v>1167.699951171875</v>
      </c>
      <c r="AI136" s="114">
        <f t="shared" ref="AI136:AI140" si="1835">IF(AH136&gt;0,AH136*FH136,0)</f>
        <v>4708785.0840991214</v>
      </c>
      <c r="AJ136" s="133">
        <f t="shared" ref="AJ136:AJ140" si="1836">CU136</f>
        <v>414</v>
      </c>
      <c r="AK136" s="133">
        <f t="shared" ref="AK136:AK142" si="1837">SUM(CS136:CU136)</f>
        <v>1581</v>
      </c>
      <c r="AL136" s="133">
        <f t="shared" ref="AL136:AL140" si="1838">SUM(CP136:CU136)</f>
        <v>2201</v>
      </c>
      <c r="AM136" s="133">
        <f t="shared" ref="AM136:AM140" si="1839">SUM(BK136:BP136)</f>
        <v>3741.6800000000003</v>
      </c>
      <c r="AN136" s="133">
        <f t="shared" ref="AN136:AN140" si="1840">IFERROR(S136/BQ136*30,"нет оборота")</f>
        <v>121.4935536978042</v>
      </c>
      <c r="AO136" s="133" t="str">
        <f t="shared" ref="AO136:AO140" si="1841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185</v>
      </c>
      <c r="AS136" s="134" t="s">
        <v>197</v>
      </c>
      <c r="AT136" s="25" t="s">
        <v>185</v>
      </c>
      <c r="AU136" s="14"/>
      <c r="AV136" s="97" t="str">
        <f t="shared" ref="AV136:AV140" si="1842">IF(V136=0,"нет остатка",IF(SUM(BK136:BP136)=0,"Нет планов",IF(BR136&lt;=0,"0-01",IF(BS136&lt;=0,"0-02",IF(BT136&lt;=0,"0-03",IF(BU136&lt;=0,"0-04",IF(BV136&lt;=0,"0-05",IF(BW136&lt;=0,"0-06",IF(BX136&lt;=0,"0-07",IF(BY136&lt;=0,"0-08",IF(BZ136&lt;=0,"0-09",IF(CA136&lt;=0,"0-10",IF(CB136&lt;=0,"0-11",IF(CC136&lt;=0,"0-12",IF(CD136&lt;=0,"0-13",IF(CE136&lt;=0,"0-14",IF(CF136&lt;=0,"0-15",IF(CG136&lt;=0,"0-16",IF(CH136&lt;=0,"0-17",IF(CI136&lt;=0,"0-18",IF(CJ136&lt;=0,"0-19",IF(CK136&lt;=0,"0-20",IF(CL136&lt;=0,"0-21",IF(CM136&lt;=0,"0-22",IF(CN136&lt;=0,"0-23",IF(CO136&lt;=0,"0-24","0-25 более 24"))))))))))))))))))))))))))</f>
        <v>0-03</v>
      </c>
      <c r="AW136" s="117">
        <f t="shared" ref="AW136:AW140" si="1843">IF(AT136="Да",W136,0)</f>
        <v>0</v>
      </c>
      <c r="AX136" s="14"/>
      <c r="AY136" s="25">
        <f t="shared" ref="AY136:AY140" si="1844">IF(AX136&gt;6,W136,0)</f>
        <v>0</v>
      </c>
      <c r="AZ136" s="130" t="s">
        <v>439</v>
      </c>
      <c r="BA136" s="26" t="s">
        <v>196</v>
      </c>
      <c r="BB136" s="26"/>
      <c r="BC136" s="27">
        <v>45808</v>
      </c>
      <c r="BD136" s="28"/>
      <c r="BE136" s="29">
        <v>0</v>
      </c>
      <c r="BF136" s="32">
        <f t="shared" ref="BF136:BF140" si="1845">BE136*FH136</f>
        <v>0</v>
      </c>
      <c r="BG136" s="32">
        <v>0</v>
      </c>
      <c r="BH136" s="32">
        <f t="shared" ref="BH136:BH140" si="1846">BG136*FH136</f>
        <v>0</v>
      </c>
      <c r="BI136" s="135">
        <v>0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47">IF(COUNTIF(BK136:BP136,"&gt;0")=0,0,SUM(BK136:BP136)/COUNTIF(BK136:BP136,"&gt;0"))</f>
        <v>623.61333333333334</v>
      </c>
      <c r="BR136" s="95">
        <f t="shared" ref="BR136:BR140" si="1848">IF(OR(Q136=0,SUM(BK136:BP136)=0,V136&gt;Q136),V136-BK136,Q136-BK136)</f>
        <v>1009.1399511718751</v>
      </c>
      <c r="BS136" s="133">
        <f t="shared" ref="BS136:BW139" si="1849">BR136-BL136</f>
        <v>420.76995117187505</v>
      </c>
      <c r="BT136" s="133">
        <f t="shared" si="1849"/>
        <v>-123.38004882812493</v>
      </c>
      <c r="BU136" s="133">
        <f t="shared" si="1849"/>
        <v>-780.82004882812498</v>
      </c>
      <c r="BV136" s="133">
        <f t="shared" si="1849"/>
        <v>-1483.6600488281251</v>
      </c>
      <c r="BW136" s="133">
        <f t="shared" si="1849"/>
        <v>-2097.7300488281253</v>
      </c>
      <c r="BX136" s="133">
        <f t="shared" ref="BX136:CO137" si="1850">BW136-$BQ136</f>
        <v>-2721.3433821614585</v>
      </c>
      <c r="BY136" s="133">
        <f t="shared" si="1850"/>
        <v>-3344.9567154947918</v>
      </c>
      <c r="BZ136" s="133">
        <f t="shared" si="1850"/>
        <v>-3968.570048828125</v>
      </c>
      <c r="CA136" s="133">
        <f t="shared" si="1850"/>
        <v>-4592.1833821614582</v>
      </c>
      <c r="CB136" s="133">
        <f t="shared" si="1850"/>
        <v>-5215.7967154947919</v>
      </c>
      <c r="CC136" s="133">
        <f t="shared" si="1850"/>
        <v>-5839.4100488281256</v>
      </c>
      <c r="CD136" s="133">
        <f t="shared" si="1850"/>
        <v>-6463.0233821614593</v>
      </c>
      <c r="CE136" s="133">
        <f t="shared" si="1850"/>
        <v>-7086.636715494793</v>
      </c>
      <c r="CF136" s="133">
        <f t="shared" si="1850"/>
        <v>-7710.2500488281266</v>
      </c>
      <c r="CG136" s="133">
        <f t="shared" si="1850"/>
        <v>-8333.8633821614603</v>
      </c>
      <c r="CH136" s="133">
        <f t="shared" si="1850"/>
        <v>-8957.4767154947931</v>
      </c>
      <c r="CI136" s="133">
        <f t="shared" si="1850"/>
        <v>-9581.0900488281259</v>
      </c>
      <c r="CJ136" s="133">
        <f t="shared" si="1850"/>
        <v>-10204.703382161459</v>
      </c>
      <c r="CK136" s="133">
        <f t="shared" si="1850"/>
        <v>-10828.316715494791</v>
      </c>
      <c r="CL136" s="133">
        <f t="shared" si="1850"/>
        <v>-11451.930048828124</v>
      </c>
      <c r="CM136" s="133">
        <f t="shared" si="1850"/>
        <v>-12075.543382161457</v>
      </c>
      <c r="CN136" s="133">
        <f t="shared" si="1850"/>
        <v>-12699.15671549479</v>
      </c>
      <c r="CO136" s="133">
        <f t="shared" si="1850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51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52">IFERROR(CZ136/CY136,0)</f>
        <v>0</v>
      </c>
      <c r="DB136" s="4">
        <f t="shared" ref="DB136:DB137" si="1853">CY136*FH136</f>
        <v>0</v>
      </c>
      <c r="DC136" s="4">
        <f t="shared" ref="DC136:DC137" si="1854">CZ136*FH136</f>
        <v>0</v>
      </c>
      <c r="DD136" s="136">
        <f t="shared" ref="DD136:DD137" si="1855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56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57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58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59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60">$DF136*BK136/30</f>
        <v>952.21499999999992</v>
      </c>
      <c r="DY136" s="62">
        <f t="shared" ref="DY136:DY140" si="1861">DX136*$FH136</f>
        <v>3839835.5539500001</v>
      </c>
      <c r="DZ136" s="48">
        <f t="shared" ref="DZ136:DZ140" si="1862">IFERROR(ROUNDUP(DX136/$EX136,0)*$EY136,0)</f>
        <v>3</v>
      </c>
      <c r="EA136" s="62">
        <f t="shared" ref="EA136:EA140" si="1863">$DF136*BL136/30</f>
        <v>882.55500000000006</v>
      </c>
      <c r="EB136" s="62">
        <f t="shared" ref="EB136:EB140" si="1864">EA136*$FH136</f>
        <v>3558929.5141500006</v>
      </c>
      <c r="EC136" s="48">
        <f t="shared" ref="EC136:EC140" si="1865">IFERROR(ROUNDUP(EA136/$EX136,0)*$EY136,0)</f>
        <v>3</v>
      </c>
      <c r="ED136" s="62">
        <f t="shared" ref="ED136:ED140" si="1866">$DF136*BM136/30</f>
        <v>816.22500000000002</v>
      </c>
      <c r="EE136" s="62">
        <f t="shared" ref="EE136:EE140" si="1867">ED136*$FH136</f>
        <v>3291451.7992500002</v>
      </c>
      <c r="EF136" s="48">
        <f t="shared" ref="EF136:EF140" si="1868">IFERROR(ROUNDUP(ED136/$EX136,0)*$EY136,0)</f>
        <v>3</v>
      </c>
      <c r="EG136" s="62">
        <f t="shared" ref="EG136:EG140" si="1869">$DF136*BN136/30</f>
        <v>986.16000000000008</v>
      </c>
      <c r="EH136" s="62">
        <f t="shared" ref="EH136:EH140" si="1870">EG136*$FH136</f>
        <v>3976719.7848000005</v>
      </c>
      <c r="EI136" s="48">
        <f t="shared" ref="EI136:EI140" si="1871">IFERROR(ROUNDUP(EG136/$EX136,0)*$EY136,0)</f>
        <v>3</v>
      </c>
      <c r="EJ136" s="62">
        <f t="shared" ref="EJ136:EJ140" si="1872">$DF136*BO136/30</f>
        <v>1054.26</v>
      </c>
      <c r="EK136" s="62">
        <f t="shared" ref="EK136:EK140" si="1873">EJ136*$FH136</f>
        <v>4251335.0778000001</v>
      </c>
      <c r="EL136" s="48">
        <f t="shared" ref="EL136:EL140" si="1874">IFERROR(ROUNDUP(EJ136/$EX136,0)*$EY136,0)</f>
        <v>4.5</v>
      </c>
      <c r="EM136" s="62">
        <f t="shared" ref="EM136:EM140" si="1875">$DF136*BP136/30</f>
        <v>921.10500000000002</v>
      </c>
      <c r="EN136" s="62">
        <f t="shared" ref="EN136:EN140" si="1876">EM136*$FH136</f>
        <v>3714383.5456500002</v>
      </c>
      <c r="EO136" s="48">
        <f t="shared" ref="EO136:EO140" si="1877">IFERROR(ROUNDUP(EM136/$EX136,0)*$EY136,0)</f>
        <v>3</v>
      </c>
      <c r="EP136" s="62">
        <f t="shared" ref="EP136:ER136" si="1878">BK136*$FH136</f>
        <v>2559890.3692999999</v>
      </c>
      <c r="EQ136" s="62">
        <f t="shared" si="1878"/>
        <v>2372619.6761000003</v>
      </c>
      <c r="ER136" s="62">
        <f t="shared" si="1878"/>
        <v>2194301.1995000001</v>
      </c>
      <c r="ES136" s="62">
        <f t="shared" ref="ES136:EU136" si="1879">BN136*$FH136</f>
        <v>2651146.5232000002</v>
      </c>
      <c r="ET136" s="62">
        <f t="shared" si="1879"/>
        <v>2834223.3852000004</v>
      </c>
      <c r="EU136" s="62">
        <f t="shared" si="1879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80">EXACT(AT136,AP136)</f>
        <v>1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 t="shared" si="1821"/>
        <v>1</v>
      </c>
      <c r="FS136" s="103" t="b">
        <f t="shared" si="1822"/>
        <v>0</v>
      </c>
      <c r="FT136" s="103" t="b">
        <f t="shared" si="1823"/>
        <v>1</v>
      </c>
      <c r="FU136" s="103" t="b">
        <f t="shared" si="1824"/>
        <v>0</v>
      </c>
      <c r="FV136" s="103" t="b">
        <f t="shared" si="1825"/>
        <v>1</v>
      </c>
      <c r="FW136" s="104" t="b">
        <f t="shared" ref="FW136:FW199" si="1881">EXACT(FP136,BG136)</f>
        <v>0</v>
      </c>
      <c r="FX136" s="120" t="b">
        <f t="shared" ref="FX136:FX140" si="1882">EXACT(FQ136,BI136)</f>
        <v>1</v>
      </c>
      <c r="FY136" s="104" t="s">
        <v>491</v>
      </c>
      <c r="FZ136" s="104" t="b">
        <f t="shared" ref="FZ136:FZ140" si="1883">EXACT(FY136,C136)</f>
        <v>0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84">EXACT(GD136,C136)</f>
        <v>0</v>
      </c>
      <c r="GI136" s="8" t="b">
        <f t="shared" ref="GI136:GI140" si="1885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1046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26"/>
        <v>в диапазоне</v>
      </c>
      <c r="Q137" s="95">
        <v>3765.0699996948242</v>
      </c>
      <c r="R137" s="95">
        <f t="shared" si="1827"/>
        <v>4581977.23752861</v>
      </c>
      <c r="S137" s="131">
        <v>5177.0149765014648</v>
      </c>
      <c r="T137" s="131">
        <v>7995123.0789600369</v>
      </c>
      <c r="U137" s="131">
        <f t="shared" si="1828"/>
        <v>6</v>
      </c>
      <c r="V137" s="113">
        <f t="shared" si="1829"/>
        <v>9799.8660278320313</v>
      </c>
      <c r="W137" s="113">
        <f t="shared" si="1830"/>
        <v>11926142.959890747</v>
      </c>
      <c r="X137" s="113">
        <f t="shared" si="1831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32"/>
        <v>0</v>
      </c>
      <c r="AF137" s="95">
        <f t="shared" si="1833"/>
        <v>7301820</v>
      </c>
      <c r="AG137" s="114">
        <v>0</v>
      </c>
      <c r="AH137" s="95">
        <f t="shared" si="1834"/>
        <v>9799.8660278320313</v>
      </c>
      <c r="AI137" s="114">
        <f t="shared" si="1835"/>
        <v>11926142.959890747</v>
      </c>
      <c r="AJ137" s="133">
        <f t="shared" si="1836"/>
        <v>4736</v>
      </c>
      <c r="AK137" s="133">
        <f t="shared" si="1837"/>
        <v>16824</v>
      </c>
      <c r="AL137" s="133">
        <f t="shared" si="1838"/>
        <v>25270</v>
      </c>
      <c r="AM137" s="133">
        <f t="shared" si="1839"/>
        <v>36391.619999999995</v>
      </c>
      <c r="AN137" s="133">
        <f t="shared" si="1840"/>
        <v>25.606518637264944</v>
      </c>
      <c r="AO137" s="133" t="str">
        <f t="shared" si="1841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si="1842"/>
        <v>0-02</v>
      </c>
      <c r="AW137" s="117">
        <f t="shared" si="1843"/>
        <v>0</v>
      </c>
      <c r="AX137" s="14"/>
      <c r="AY137" s="25">
        <f t="shared" si="1844"/>
        <v>0</v>
      </c>
      <c r="AZ137" s="130" t="s">
        <v>439</v>
      </c>
      <c r="BA137" s="26"/>
      <c r="BB137" s="26"/>
      <c r="BC137" s="27"/>
      <c r="BD137" s="28"/>
      <c r="BE137" s="29">
        <v>0</v>
      </c>
      <c r="BF137" s="32">
        <f t="shared" si="1845"/>
        <v>0</v>
      </c>
      <c r="BG137" s="32">
        <v>0</v>
      </c>
      <c r="BH137" s="32">
        <f t="shared" si="1846"/>
        <v>0</v>
      </c>
      <c r="BI137" s="135">
        <v>0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47"/>
        <v>6065.2699999999995</v>
      </c>
      <c r="BR137" s="95">
        <f t="shared" si="1848"/>
        <v>5056.4860278320311</v>
      </c>
      <c r="BS137" s="133">
        <f t="shared" si="1849"/>
        <v>-381.52397216796908</v>
      </c>
      <c r="BT137" s="133">
        <f t="shared" si="1849"/>
        <v>-7975.7239721679689</v>
      </c>
      <c r="BU137" s="133">
        <f t="shared" si="1849"/>
        <v>-14290.613972167968</v>
      </c>
      <c r="BV137" s="133">
        <f t="shared" si="1849"/>
        <v>-20636.553972167967</v>
      </c>
      <c r="BW137" s="133">
        <f t="shared" si="1849"/>
        <v>-26591.753972167968</v>
      </c>
      <c r="BX137" s="133">
        <f t="shared" si="1850"/>
        <v>-32657.023972167968</v>
      </c>
      <c r="BY137" s="133">
        <f t="shared" si="1850"/>
        <v>-38722.293972167965</v>
      </c>
      <c r="BZ137" s="133">
        <f t="shared" si="1850"/>
        <v>-44787.563972167962</v>
      </c>
      <c r="CA137" s="133">
        <f t="shared" si="1850"/>
        <v>-50852.833972167959</v>
      </c>
      <c r="CB137" s="133">
        <f t="shared" si="1850"/>
        <v>-56918.103972167955</v>
      </c>
      <c r="CC137" s="133">
        <f t="shared" si="1850"/>
        <v>-62983.373972167952</v>
      </c>
      <c r="CD137" s="133">
        <f t="shared" si="1850"/>
        <v>-69048.643972167949</v>
      </c>
      <c r="CE137" s="133">
        <f t="shared" si="1850"/>
        <v>-75113.913972167953</v>
      </c>
      <c r="CF137" s="133">
        <f t="shared" si="1850"/>
        <v>-81179.183972167957</v>
      </c>
      <c r="CG137" s="133">
        <f t="shared" si="1850"/>
        <v>-87244.453972167961</v>
      </c>
      <c r="CH137" s="133">
        <f t="shared" si="1850"/>
        <v>-93309.723972167965</v>
      </c>
      <c r="CI137" s="133">
        <f t="shared" si="1850"/>
        <v>-99374.993972167969</v>
      </c>
      <c r="CJ137" s="133">
        <f t="shared" si="1850"/>
        <v>-105440.26397216797</v>
      </c>
      <c r="CK137" s="133">
        <f t="shared" si="1850"/>
        <v>-111505.53397216798</v>
      </c>
      <c r="CL137" s="133">
        <f t="shared" si="1850"/>
        <v>-117570.80397216798</v>
      </c>
      <c r="CM137" s="133">
        <f t="shared" si="1850"/>
        <v>-123636.07397216799</v>
      </c>
      <c r="CN137" s="133">
        <f t="shared" si="1850"/>
        <v>-129701.34397216799</v>
      </c>
      <c r="CO137" s="133">
        <f t="shared" si="1850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51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52"/>
        <v>0</v>
      </c>
      <c r="DB137" s="4">
        <f t="shared" si="1853"/>
        <v>0</v>
      </c>
      <c r="DC137" s="4">
        <f t="shared" si="1854"/>
        <v>0</v>
      </c>
      <c r="DD137" s="136">
        <f t="shared" si="1855"/>
        <v>0</v>
      </c>
      <c r="DE137" s="31">
        <v>0</v>
      </c>
      <c r="DF137" s="31">
        <v>45</v>
      </c>
      <c r="DG137" s="31">
        <v>2000</v>
      </c>
      <c r="DH137" s="48">
        <f t="shared" si="1856"/>
        <v>3</v>
      </c>
      <c r="DI137" s="62">
        <v>3175.3580000000002</v>
      </c>
      <c r="DJ137" s="62">
        <v>6602876.7170000002</v>
      </c>
      <c r="DK137" s="48">
        <f t="shared" si="1857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58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59"/>
        <v>9</v>
      </c>
      <c r="DV137" s="62">
        <v>4906.9099999999989</v>
      </c>
      <c r="DW137" s="62">
        <v>8495575.6355388407</v>
      </c>
      <c r="DX137" s="62">
        <f t="shared" si="1860"/>
        <v>7115.0700000000006</v>
      </c>
      <c r="DY137" s="62">
        <f t="shared" si="1861"/>
        <v>8658826.7379000001</v>
      </c>
      <c r="DZ137" s="48">
        <f t="shared" si="1862"/>
        <v>8</v>
      </c>
      <c r="EA137" s="62">
        <f t="shared" si="1863"/>
        <v>8157.0150000000003</v>
      </c>
      <c r="EB137" s="62">
        <f t="shared" si="1864"/>
        <v>9926842.5445499998</v>
      </c>
      <c r="EC137" s="48">
        <f t="shared" si="1865"/>
        <v>10</v>
      </c>
      <c r="ED137" s="62">
        <f t="shared" si="1866"/>
        <v>11391.3</v>
      </c>
      <c r="EE137" s="62">
        <f t="shared" si="1867"/>
        <v>13862870.361</v>
      </c>
      <c r="EF137" s="48">
        <f t="shared" si="1868"/>
        <v>13</v>
      </c>
      <c r="EG137" s="62">
        <f t="shared" si="1869"/>
        <v>9472.3349999999991</v>
      </c>
      <c r="EH137" s="62">
        <f t="shared" si="1870"/>
        <v>11527547.52495</v>
      </c>
      <c r="EI137" s="48">
        <f t="shared" si="1871"/>
        <v>11</v>
      </c>
      <c r="EJ137" s="62">
        <f t="shared" si="1872"/>
        <v>9518.91</v>
      </c>
      <c r="EK137" s="62">
        <f t="shared" si="1873"/>
        <v>11584227.9027</v>
      </c>
      <c r="EL137" s="48">
        <f t="shared" si="1874"/>
        <v>11</v>
      </c>
      <c r="EM137" s="62">
        <f t="shared" si="1875"/>
        <v>8932.7999999999993</v>
      </c>
      <c r="EN137" s="62">
        <f t="shared" si="1876"/>
        <v>10870949.615999999</v>
      </c>
      <c r="EO137" s="48">
        <f t="shared" si="1877"/>
        <v>10</v>
      </c>
      <c r="EP137" s="62">
        <f t="shared" ref="EP137:EU140" si="1886">BK137*$FH137</f>
        <v>5772551.1586000007</v>
      </c>
      <c r="EQ137" s="62">
        <f t="shared" si="1886"/>
        <v>6617895.0297000008</v>
      </c>
      <c r="ER137" s="62">
        <f t="shared" si="1886"/>
        <v>9241913.5739999991</v>
      </c>
      <c r="ES137" s="62">
        <f t="shared" si="1886"/>
        <v>7685031.6833000006</v>
      </c>
      <c r="ET137" s="62">
        <f t="shared" si="1886"/>
        <v>7722818.6017999994</v>
      </c>
      <c r="EU137" s="62">
        <f t="shared" si="1886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80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 t="shared" si="1821"/>
        <v>0</v>
      </c>
      <c r="FS137" s="103" t="b">
        <f t="shared" si="1822"/>
        <v>0</v>
      </c>
      <c r="FT137" s="103" t="b">
        <f t="shared" si="1823"/>
        <v>0</v>
      </c>
      <c r="FU137" s="103" t="b">
        <f t="shared" si="1824"/>
        <v>0</v>
      </c>
      <c r="FV137" s="103" t="b">
        <f t="shared" si="1825"/>
        <v>1</v>
      </c>
      <c r="FW137" s="104" t="b">
        <f t="shared" si="1881"/>
        <v>0</v>
      </c>
      <c r="FX137" s="120" t="b">
        <f t="shared" si="1882"/>
        <v>1</v>
      </c>
      <c r="FY137" s="104" t="s">
        <v>491</v>
      </c>
      <c r="FZ137" s="104" t="b">
        <f t="shared" si="1883"/>
        <v>0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84"/>
        <v>0</v>
      </c>
      <c r="GI137" s="8" t="b">
        <f t="shared" si="1885"/>
        <v>0</v>
      </c>
      <c r="GJ137" s="31" t="s">
        <v>203</v>
      </c>
    </row>
    <row r="138" spans="1:192" hidden="1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26"/>
        <v>нет минмакс</v>
      </c>
      <c r="Q138" s="95">
        <v>622001</v>
      </c>
      <c r="R138" s="95">
        <f t="shared" si="1827"/>
        <v>5585568.9800000004</v>
      </c>
      <c r="S138" s="114">
        <v>617329</v>
      </c>
      <c r="T138" s="114">
        <v>5765852.8600000003</v>
      </c>
      <c r="U138" s="131">
        <f t="shared" si="1828"/>
        <v>307</v>
      </c>
      <c r="V138" s="115">
        <f t="shared" si="1829"/>
        <v>485942</v>
      </c>
      <c r="W138" s="115">
        <f t="shared" si="1830"/>
        <v>4363759.16</v>
      </c>
      <c r="X138" s="115">
        <f t="shared" si="1831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32"/>
        <v>0</v>
      </c>
      <c r="AF138" s="95">
        <f t="shared" si="1833"/>
        <v>0</v>
      </c>
      <c r="AG138" s="114">
        <v>0</v>
      </c>
      <c r="AH138" s="95">
        <f t="shared" si="1834"/>
        <v>485942</v>
      </c>
      <c r="AI138" s="114">
        <f t="shared" si="1835"/>
        <v>4363759.16</v>
      </c>
      <c r="AJ138" s="114">
        <f t="shared" si="1836"/>
        <v>197997</v>
      </c>
      <c r="AK138" s="114">
        <f t="shared" si="1837"/>
        <v>622157</v>
      </c>
      <c r="AL138" s="114">
        <f t="shared" si="1838"/>
        <v>1185687</v>
      </c>
      <c r="AM138" s="114">
        <f t="shared" si="1839"/>
        <v>1964698</v>
      </c>
      <c r="AN138" s="133">
        <f t="shared" si="1840"/>
        <v>56.557913735342531</v>
      </c>
      <c r="AO138" s="133" t="str">
        <f t="shared" si="1841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42"/>
        <v>0-02</v>
      </c>
      <c r="AW138" s="126">
        <f t="shared" si="1843"/>
        <v>0</v>
      </c>
      <c r="AX138" s="138"/>
      <c r="AY138" s="115">
        <f t="shared" si="1844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45"/>
        <v>0</v>
      </c>
      <c r="BG138" s="32">
        <v>0</v>
      </c>
      <c r="BH138" s="32">
        <f t="shared" si="1846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47"/>
        <v>327449.66666666669</v>
      </c>
      <c r="BR138" s="95">
        <f t="shared" si="1848"/>
        <v>214792</v>
      </c>
      <c r="BS138" s="133">
        <f t="shared" si="1849"/>
        <v>-76830</v>
      </c>
      <c r="BT138" s="133">
        <f t="shared" si="1849"/>
        <v>-394793</v>
      </c>
      <c r="BU138" s="133">
        <f t="shared" si="1849"/>
        <v>-712377</v>
      </c>
      <c r="BV138" s="133">
        <f t="shared" si="1849"/>
        <v>-1027590</v>
      </c>
      <c r="BW138" s="133">
        <f t="shared" si="1849"/>
        <v>-1342697</v>
      </c>
      <c r="BX138" s="133">
        <f t="shared" ref="BX138:BZ138" si="1887">BW138-$BQ138</f>
        <v>-1670146.6666666667</v>
      </c>
      <c r="BY138" s="133">
        <f t="shared" si="1887"/>
        <v>-1997596.3333333335</v>
      </c>
      <c r="BZ138" s="133">
        <f t="shared" si="1887"/>
        <v>-2325046</v>
      </c>
      <c r="CA138" s="133">
        <f t="shared" ref="CA138:CO138" si="1888">BZ138-$BQ138</f>
        <v>-2652495.6666666665</v>
      </c>
      <c r="CB138" s="133">
        <f t="shared" si="1888"/>
        <v>-2979945.333333333</v>
      </c>
      <c r="CC138" s="133">
        <f t="shared" si="1888"/>
        <v>-3307394.9999999995</v>
      </c>
      <c r="CD138" s="133">
        <f t="shared" si="1888"/>
        <v>-3634844.666666666</v>
      </c>
      <c r="CE138" s="133">
        <f t="shared" si="1888"/>
        <v>-3962294.3333333326</v>
      </c>
      <c r="CF138" s="133">
        <f t="shared" si="1888"/>
        <v>-4289743.9999999991</v>
      </c>
      <c r="CG138" s="133">
        <f t="shared" si="1888"/>
        <v>-4617193.666666666</v>
      </c>
      <c r="CH138" s="133">
        <f t="shared" si="1888"/>
        <v>-4944643.333333333</v>
      </c>
      <c r="CI138" s="133">
        <f t="shared" si="1888"/>
        <v>-5272093</v>
      </c>
      <c r="CJ138" s="133">
        <f t="shared" si="1888"/>
        <v>-5599542.666666667</v>
      </c>
      <c r="CK138" s="133">
        <f t="shared" si="1888"/>
        <v>-5926992.333333334</v>
      </c>
      <c r="CL138" s="133">
        <f t="shared" si="1888"/>
        <v>-6254442.0000000009</v>
      </c>
      <c r="CM138" s="133">
        <f t="shared" si="1888"/>
        <v>-6581891.6666666679</v>
      </c>
      <c r="CN138" s="133">
        <f t="shared" si="1888"/>
        <v>-6909341.3333333349</v>
      </c>
      <c r="CO138" s="133">
        <f t="shared" si="1888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51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89">IFERROR(CZ138/CY138,0)</f>
        <v>0</v>
      </c>
      <c r="DB138" s="4">
        <f t="shared" ref="DB138:DB143" si="1890">CY138*FH138</f>
        <v>0</v>
      </c>
      <c r="DC138" s="4">
        <f t="shared" ref="DC138:DC143" si="1891">CZ138*FH138</f>
        <v>0</v>
      </c>
      <c r="DD138" s="136">
        <f t="shared" ref="DD138:DD143" si="1892">IFERROR(DC138/DB138,0)</f>
        <v>0</v>
      </c>
      <c r="DE138" s="31">
        <v>0</v>
      </c>
      <c r="DG138" s="31">
        <v>0</v>
      </c>
      <c r="DH138" s="48">
        <f t="shared" si="1856"/>
        <v>0</v>
      </c>
      <c r="DI138" s="62">
        <v>361427.29</v>
      </c>
      <c r="DJ138" s="62">
        <v>3228620.3319999999</v>
      </c>
      <c r="DK138" s="48">
        <f t="shared" si="1857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58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59"/>
        <v>238</v>
      </c>
      <c r="DV138" s="62">
        <v>178224</v>
      </c>
      <c r="DW138" s="62">
        <v>1620468.4047734472</v>
      </c>
      <c r="DX138" s="62">
        <f t="shared" si="1860"/>
        <v>0</v>
      </c>
      <c r="DY138" s="62">
        <f t="shared" si="1861"/>
        <v>0</v>
      </c>
      <c r="DZ138" s="48">
        <f t="shared" si="1862"/>
        <v>0</v>
      </c>
      <c r="EA138" s="62">
        <f t="shared" si="1863"/>
        <v>0</v>
      </c>
      <c r="EB138" s="62">
        <f t="shared" si="1864"/>
        <v>0</v>
      </c>
      <c r="EC138" s="48">
        <f t="shared" si="1865"/>
        <v>0</v>
      </c>
      <c r="ED138" s="62">
        <f t="shared" si="1866"/>
        <v>0</v>
      </c>
      <c r="EE138" s="62">
        <f t="shared" si="1867"/>
        <v>0</v>
      </c>
      <c r="EF138" s="48">
        <f t="shared" si="1868"/>
        <v>0</v>
      </c>
      <c r="EG138" s="62">
        <f t="shared" si="1869"/>
        <v>0</v>
      </c>
      <c r="EH138" s="62">
        <f t="shared" si="1870"/>
        <v>0</v>
      </c>
      <c r="EI138" s="48">
        <f t="shared" si="1871"/>
        <v>0</v>
      </c>
      <c r="EJ138" s="62">
        <f t="shared" si="1872"/>
        <v>0</v>
      </c>
      <c r="EK138" s="62">
        <f t="shared" si="1873"/>
        <v>0</v>
      </c>
      <c r="EL138" s="48">
        <f t="shared" si="1874"/>
        <v>0</v>
      </c>
      <c r="EM138" s="62">
        <f t="shared" si="1875"/>
        <v>0</v>
      </c>
      <c r="EN138" s="62">
        <f t="shared" si="1876"/>
        <v>0</v>
      </c>
      <c r="EO138" s="48">
        <f t="shared" si="1877"/>
        <v>0</v>
      </c>
      <c r="EP138" s="62">
        <f t="shared" si="1886"/>
        <v>3656736.8200000003</v>
      </c>
      <c r="EQ138" s="62">
        <f t="shared" si="1886"/>
        <v>2618765.56</v>
      </c>
      <c r="ER138" s="62">
        <f t="shared" si="1886"/>
        <v>2855307.74</v>
      </c>
      <c r="ES138" s="62">
        <f t="shared" si="1886"/>
        <v>2851904.3200000003</v>
      </c>
      <c r="ET138" s="62">
        <f t="shared" si="1886"/>
        <v>2830612.74</v>
      </c>
      <c r="EU138" s="62">
        <f t="shared" si="1886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80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 t="shared" si="1821"/>
        <v>1</v>
      </c>
      <c r="FS138" s="120" t="b">
        <f t="shared" si="1822"/>
        <v>1</v>
      </c>
      <c r="FT138" s="120" t="b">
        <f t="shared" si="1823"/>
        <v>1</v>
      </c>
      <c r="FU138" s="120" t="b">
        <f t="shared" si="1824"/>
        <v>1</v>
      </c>
      <c r="FV138" s="120" t="b">
        <f t="shared" si="1825"/>
        <v>1</v>
      </c>
      <c r="FW138" s="104" t="b">
        <f t="shared" si="1881"/>
        <v>0</v>
      </c>
      <c r="FX138" s="120" t="b">
        <f t="shared" si="1882"/>
        <v>1</v>
      </c>
      <c r="FY138" s="104" t="s">
        <v>368</v>
      </c>
      <c r="FZ138" s="104" t="b">
        <f t="shared" si="1883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84"/>
        <v>1</v>
      </c>
      <c r="GI138" s="8" t="b">
        <f t="shared" si="1885"/>
        <v>0</v>
      </c>
      <c r="GJ138" s="31" t="s">
        <v>203</v>
      </c>
    </row>
    <row r="139" spans="1:192" ht="30" hidden="1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26"/>
        <v>нет минмакс</v>
      </c>
      <c r="Q139" s="95">
        <v>42038</v>
      </c>
      <c r="R139" s="95">
        <f t="shared" si="1827"/>
        <v>4644778.62</v>
      </c>
      <c r="S139" s="114">
        <v>49857</v>
      </c>
      <c r="T139" s="114">
        <v>6049149.8099999996</v>
      </c>
      <c r="U139" s="131">
        <f t="shared" si="1828"/>
        <v>831</v>
      </c>
      <c r="V139" s="115">
        <f t="shared" si="1829"/>
        <v>32572</v>
      </c>
      <c r="W139" s="115">
        <f t="shared" si="1830"/>
        <v>3598880.28</v>
      </c>
      <c r="X139" s="115">
        <f t="shared" si="1831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32"/>
        <v>0</v>
      </c>
      <c r="AF139" s="95">
        <f t="shared" si="1833"/>
        <v>0</v>
      </c>
      <c r="AG139" s="114">
        <v>0</v>
      </c>
      <c r="AH139" s="95">
        <f t="shared" si="1834"/>
        <v>32572</v>
      </c>
      <c r="AI139" s="114">
        <f t="shared" si="1835"/>
        <v>3598880.28</v>
      </c>
      <c r="AJ139" s="114">
        <f t="shared" si="1836"/>
        <v>33633</v>
      </c>
      <c r="AK139" s="114">
        <f t="shared" si="1837"/>
        <v>61184</v>
      </c>
      <c r="AL139" s="114">
        <f t="shared" si="1838"/>
        <v>65383</v>
      </c>
      <c r="AM139" s="114">
        <f t="shared" si="1839"/>
        <v>186244</v>
      </c>
      <c r="AN139" s="133">
        <f t="shared" si="1840"/>
        <v>48.185498593243267</v>
      </c>
      <c r="AO139" s="133" t="str">
        <f t="shared" si="1841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42"/>
        <v>0-02</v>
      </c>
      <c r="AW139" s="126">
        <f t="shared" si="1843"/>
        <v>0</v>
      </c>
      <c r="AX139" s="138"/>
      <c r="AY139" s="115">
        <f t="shared" si="1844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45"/>
        <v>0</v>
      </c>
      <c r="BG139" s="32">
        <v>0</v>
      </c>
      <c r="BH139" s="32">
        <f t="shared" si="1846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47"/>
        <v>31040.666666666668</v>
      </c>
      <c r="BR139" s="95">
        <f t="shared" si="1848"/>
        <v>16097</v>
      </c>
      <c r="BS139" s="133">
        <f t="shared" si="1849"/>
        <v>-14232</v>
      </c>
      <c r="BT139" s="133">
        <f t="shared" si="1849"/>
        <v>-49607</v>
      </c>
      <c r="BU139" s="133">
        <f t="shared" si="1849"/>
        <v>-87819</v>
      </c>
      <c r="BV139" s="133">
        <f t="shared" si="1849"/>
        <v>-116065</v>
      </c>
      <c r="BW139" s="133">
        <f t="shared" si="1849"/>
        <v>-144206</v>
      </c>
      <c r="BX139" s="133">
        <f t="shared" ref="BX139:CO140" si="1893">BW139-$BQ139</f>
        <v>-175246.66666666666</v>
      </c>
      <c r="BY139" s="133">
        <f t="shared" si="1893"/>
        <v>-206287.33333333331</v>
      </c>
      <c r="BZ139" s="133">
        <f t="shared" si="1893"/>
        <v>-237327.99999999997</v>
      </c>
      <c r="CA139" s="133">
        <f t="shared" si="1893"/>
        <v>-268368.66666666663</v>
      </c>
      <c r="CB139" s="133">
        <f t="shared" si="1893"/>
        <v>-299409.33333333331</v>
      </c>
      <c r="CC139" s="133">
        <f t="shared" si="1893"/>
        <v>-330450</v>
      </c>
      <c r="CD139" s="133">
        <f t="shared" si="1893"/>
        <v>-361490.66666666669</v>
      </c>
      <c r="CE139" s="133">
        <f t="shared" si="1893"/>
        <v>-392531.33333333337</v>
      </c>
      <c r="CF139" s="133">
        <f t="shared" si="1893"/>
        <v>-423572.00000000006</v>
      </c>
      <c r="CG139" s="133">
        <f t="shared" si="1893"/>
        <v>-454612.66666666674</v>
      </c>
      <c r="CH139" s="133">
        <f t="shared" si="1893"/>
        <v>-485653.33333333343</v>
      </c>
      <c r="CI139" s="133">
        <f t="shared" si="1893"/>
        <v>-516694.00000000012</v>
      </c>
      <c r="CJ139" s="133">
        <f t="shared" si="1893"/>
        <v>-547734.66666666674</v>
      </c>
      <c r="CK139" s="133">
        <f t="shared" si="1893"/>
        <v>-578775.33333333337</v>
      </c>
      <c r="CL139" s="133">
        <f t="shared" si="1893"/>
        <v>-609816</v>
      </c>
      <c r="CM139" s="133">
        <f t="shared" si="1893"/>
        <v>-640856.66666666663</v>
      </c>
      <c r="CN139" s="133">
        <f t="shared" si="1893"/>
        <v>-671897.33333333326</v>
      </c>
      <c r="CO139" s="133">
        <f t="shared" si="1893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51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89"/>
        <v>0</v>
      </c>
      <c r="DB139" s="4">
        <f t="shared" si="1890"/>
        <v>0</v>
      </c>
      <c r="DC139" s="4">
        <f t="shared" si="1891"/>
        <v>0</v>
      </c>
      <c r="DD139" s="136">
        <f t="shared" si="1892"/>
        <v>0</v>
      </c>
      <c r="DE139" s="31">
        <v>0</v>
      </c>
      <c r="DG139" s="31">
        <v>0</v>
      </c>
      <c r="DH139" s="48">
        <f t="shared" si="1856"/>
        <v>0</v>
      </c>
      <c r="DI139" s="62">
        <v>16266.290999999999</v>
      </c>
      <c r="DJ139" s="62">
        <v>1853058.1060000001</v>
      </c>
      <c r="DK139" s="48">
        <f t="shared" si="1857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58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59"/>
        <v>270</v>
      </c>
      <c r="DV139" s="62">
        <v>1171</v>
      </c>
      <c r="DW139" s="62">
        <v>134129.861692126</v>
      </c>
      <c r="DX139" s="62">
        <f t="shared" si="1860"/>
        <v>0</v>
      </c>
      <c r="DY139" s="62">
        <f t="shared" si="1861"/>
        <v>0</v>
      </c>
      <c r="DZ139" s="48">
        <f t="shared" si="1862"/>
        <v>0</v>
      </c>
      <c r="EA139" s="62">
        <f t="shared" si="1863"/>
        <v>0</v>
      </c>
      <c r="EB139" s="62">
        <f t="shared" si="1864"/>
        <v>0</v>
      </c>
      <c r="EC139" s="48">
        <f t="shared" si="1865"/>
        <v>0</v>
      </c>
      <c r="ED139" s="62">
        <f t="shared" si="1866"/>
        <v>0</v>
      </c>
      <c r="EE139" s="62">
        <f t="shared" si="1867"/>
        <v>0</v>
      </c>
      <c r="EF139" s="48">
        <f t="shared" si="1868"/>
        <v>0</v>
      </c>
      <c r="EG139" s="62">
        <f t="shared" si="1869"/>
        <v>0</v>
      </c>
      <c r="EH139" s="62">
        <f t="shared" si="1870"/>
        <v>0</v>
      </c>
      <c r="EI139" s="48">
        <f t="shared" si="1871"/>
        <v>0</v>
      </c>
      <c r="EJ139" s="62">
        <f t="shared" si="1872"/>
        <v>0</v>
      </c>
      <c r="EK139" s="62">
        <f t="shared" si="1873"/>
        <v>0</v>
      </c>
      <c r="EL139" s="48">
        <f t="shared" si="1874"/>
        <v>0</v>
      </c>
      <c r="EM139" s="62">
        <f t="shared" si="1875"/>
        <v>0</v>
      </c>
      <c r="EN139" s="62">
        <f t="shared" si="1876"/>
        <v>0</v>
      </c>
      <c r="EO139" s="48">
        <f t="shared" si="1877"/>
        <v>0</v>
      </c>
      <c r="EP139" s="62">
        <f t="shared" si="1886"/>
        <v>2866221.09</v>
      </c>
      <c r="EQ139" s="62">
        <f t="shared" si="1886"/>
        <v>3351051.21</v>
      </c>
      <c r="ER139" s="62">
        <f t="shared" si="1886"/>
        <v>3908583.75</v>
      </c>
      <c r="ES139" s="62">
        <f t="shared" si="1886"/>
        <v>4222043.88</v>
      </c>
      <c r="ET139" s="62">
        <f t="shared" si="1886"/>
        <v>3120900.54</v>
      </c>
      <c r="EU139" s="62">
        <f t="shared" si="1886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80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 t="shared" si="1821"/>
        <v>1</v>
      </c>
      <c r="FS139" s="120" t="b">
        <f t="shared" si="1822"/>
        <v>1</v>
      </c>
      <c r="FT139" s="120" t="b">
        <f t="shared" si="1823"/>
        <v>1</v>
      </c>
      <c r="FU139" s="120" t="b">
        <f t="shared" si="1824"/>
        <v>1</v>
      </c>
      <c r="FV139" s="120" t="b">
        <f t="shared" si="1825"/>
        <v>1</v>
      </c>
      <c r="FW139" s="104" t="b">
        <f t="shared" si="1881"/>
        <v>0</v>
      </c>
      <c r="FX139" s="120" t="b">
        <f t="shared" si="1882"/>
        <v>1</v>
      </c>
      <c r="FY139" s="104" t="s">
        <v>368</v>
      </c>
      <c r="FZ139" s="104" t="b">
        <f t="shared" si="1883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84"/>
        <v>1</v>
      </c>
      <c r="GI139" s="8" t="b">
        <f t="shared" si="1885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26"/>
        <v>в диапазоне</v>
      </c>
      <c r="Q140" s="95">
        <v>45537.139984130859</v>
      </c>
      <c r="R140" s="95">
        <f t="shared" si="1827"/>
        <v>10823267.431428224</v>
      </c>
      <c r="S140" s="131">
        <v>20399.580978393555</v>
      </c>
      <c r="T140" s="131">
        <v>5557049.854324189</v>
      </c>
      <c r="U140" s="131">
        <f t="shared" si="1828"/>
        <v>23</v>
      </c>
      <c r="V140" s="113">
        <f t="shared" si="1829"/>
        <v>71488.471984863281</v>
      </c>
      <c r="W140" s="113">
        <f t="shared" si="1830"/>
        <v>16991380.021362305</v>
      </c>
      <c r="X140" s="113">
        <f t="shared" si="1831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32"/>
        <v>0</v>
      </c>
      <c r="AF140" s="95">
        <f t="shared" si="1833"/>
        <v>0</v>
      </c>
      <c r="AG140" s="114">
        <v>0</v>
      </c>
      <c r="AH140" s="95">
        <f t="shared" si="1834"/>
        <v>71488.471984863281</v>
      </c>
      <c r="AI140" s="114">
        <f t="shared" si="1835"/>
        <v>16991380.021362305</v>
      </c>
      <c r="AJ140" s="133">
        <f t="shared" si="1836"/>
        <v>40516</v>
      </c>
      <c r="AK140" s="133">
        <f t="shared" si="1837"/>
        <v>132386</v>
      </c>
      <c r="AL140" s="133">
        <f t="shared" si="1838"/>
        <v>197279</v>
      </c>
      <c r="AM140" s="133">
        <f t="shared" si="1839"/>
        <v>287933.05</v>
      </c>
      <c r="AN140" s="133">
        <f t="shared" si="1840"/>
        <v>12.75270267206505</v>
      </c>
      <c r="AO140" s="133" t="str">
        <f t="shared" si="1841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42"/>
        <v>0-02</v>
      </c>
      <c r="AW140" s="117">
        <f t="shared" si="1843"/>
        <v>0</v>
      </c>
      <c r="AX140" s="14"/>
      <c r="AY140" s="25">
        <f t="shared" si="1844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45"/>
        <v>0</v>
      </c>
      <c r="BG140" s="32">
        <v>0</v>
      </c>
      <c r="BH140" s="32">
        <f t="shared" si="1846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47"/>
        <v>47988.841666666667</v>
      </c>
      <c r="BR140" s="95">
        <f t="shared" si="1848"/>
        <v>31257.00198486328</v>
      </c>
      <c r="BS140" s="133">
        <f t="shared" ref="BS140:BW144" si="1894">BR140-BL140</f>
        <v>-11078.258015136722</v>
      </c>
      <c r="BT140" s="133">
        <f t="shared" si="1894"/>
        <v>-68689.538015136728</v>
      </c>
      <c r="BU140" s="133">
        <f t="shared" si="1894"/>
        <v>-118666.42801513673</v>
      </c>
      <c r="BV140" s="133">
        <f t="shared" si="1894"/>
        <v>-168432.09801513673</v>
      </c>
      <c r="BW140" s="133">
        <f t="shared" si="1894"/>
        <v>-216444.57801513674</v>
      </c>
      <c r="BX140" s="133">
        <f t="shared" si="1893"/>
        <v>-264433.41968180338</v>
      </c>
      <c r="BY140" s="133">
        <f t="shared" si="1893"/>
        <v>-312422.26134847006</v>
      </c>
      <c r="BZ140" s="133">
        <f t="shared" si="1893"/>
        <v>-360411.10301513673</v>
      </c>
      <c r="CA140" s="133">
        <f t="shared" si="1893"/>
        <v>-408399.9446818034</v>
      </c>
      <c r="CB140" s="133">
        <f t="shared" si="1893"/>
        <v>-456388.78634847008</v>
      </c>
      <c r="CC140" s="133">
        <f t="shared" si="1893"/>
        <v>-504377.62801513675</v>
      </c>
      <c r="CD140" s="133">
        <f t="shared" si="1893"/>
        <v>-552366.46968180337</v>
      </c>
      <c r="CE140" s="133">
        <f t="shared" si="1893"/>
        <v>-600355.31134847004</v>
      </c>
      <c r="CF140" s="133">
        <f t="shared" si="1893"/>
        <v>-648344.15301513672</v>
      </c>
      <c r="CG140" s="133">
        <f t="shared" si="1893"/>
        <v>-696332.99468180339</v>
      </c>
      <c r="CH140" s="133">
        <f t="shared" si="1893"/>
        <v>-744321.83634847007</v>
      </c>
      <c r="CI140" s="133">
        <f t="shared" si="1893"/>
        <v>-792310.67801513674</v>
      </c>
      <c r="CJ140" s="133">
        <f t="shared" si="1893"/>
        <v>-840299.51968180342</v>
      </c>
      <c r="CK140" s="133">
        <f t="shared" si="1893"/>
        <v>-888288.36134847009</v>
      </c>
      <c r="CL140" s="133">
        <f t="shared" si="1893"/>
        <v>-936277.20301513677</v>
      </c>
      <c r="CM140" s="133">
        <f t="shared" si="1893"/>
        <v>-984266.04468180344</v>
      </c>
      <c r="CN140" s="133">
        <f t="shared" si="1893"/>
        <v>-1032254.8863484701</v>
      </c>
      <c r="CO140" s="133">
        <f t="shared" si="1893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51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89"/>
        <v>0</v>
      </c>
      <c r="DB140" s="4">
        <f t="shared" si="1890"/>
        <v>0</v>
      </c>
      <c r="DC140" s="4">
        <f t="shared" si="1891"/>
        <v>0</v>
      </c>
      <c r="DD140" s="136">
        <f t="shared" si="1892"/>
        <v>0</v>
      </c>
      <c r="DE140" s="31">
        <v>0</v>
      </c>
      <c r="DF140" s="31">
        <v>45</v>
      </c>
      <c r="DG140" s="31">
        <v>58000</v>
      </c>
      <c r="DH140" s="48">
        <f t="shared" si="1856"/>
        <v>65</v>
      </c>
      <c r="DI140" s="62">
        <v>90068.67</v>
      </c>
      <c r="DJ140" s="62">
        <v>24907221.851999994</v>
      </c>
      <c r="DK140" s="48">
        <f t="shared" si="1857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58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59"/>
        <v>40</v>
      </c>
      <c r="DV140" s="62">
        <v>41522.998999999996</v>
      </c>
      <c r="DW140" s="62">
        <v>11509727.054265885</v>
      </c>
      <c r="DX140" s="62">
        <f t="shared" si="1860"/>
        <v>60347.205000000002</v>
      </c>
      <c r="DY140" s="62">
        <f t="shared" si="1861"/>
        <v>14343323.684400002</v>
      </c>
      <c r="DZ140" s="48">
        <f t="shared" si="1862"/>
        <v>68</v>
      </c>
      <c r="EA140" s="62">
        <f t="shared" si="1863"/>
        <v>63502.890000000007</v>
      </c>
      <c r="EB140" s="62">
        <f t="shared" si="1864"/>
        <v>15093366.895200003</v>
      </c>
      <c r="EC140" s="48">
        <f t="shared" si="1865"/>
        <v>71</v>
      </c>
      <c r="ED140" s="62">
        <f t="shared" si="1866"/>
        <v>86416.92</v>
      </c>
      <c r="EE140" s="62">
        <f t="shared" si="1867"/>
        <v>20539573.545600001</v>
      </c>
      <c r="EF140" s="48">
        <f t="shared" si="1868"/>
        <v>97</v>
      </c>
      <c r="EG140" s="62">
        <f t="shared" si="1869"/>
        <v>74965.334999999992</v>
      </c>
      <c r="EH140" s="62">
        <f t="shared" si="1870"/>
        <v>17817760.822799999</v>
      </c>
      <c r="EI140" s="48">
        <f t="shared" si="1871"/>
        <v>84</v>
      </c>
      <c r="EJ140" s="62">
        <f t="shared" si="1872"/>
        <v>74648.50499999999</v>
      </c>
      <c r="EK140" s="62">
        <f t="shared" si="1873"/>
        <v>17742456.668399997</v>
      </c>
      <c r="EL140" s="48">
        <f t="shared" si="1874"/>
        <v>83</v>
      </c>
      <c r="EM140" s="62">
        <f t="shared" si="1875"/>
        <v>72018.720000000001</v>
      </c>
      <c r="EN140" s="62">
        <f t="shared" si="1876"/>
        <v>17117409.369600002</v>
      </c>
      <c r="EO140" s="48">
        <f t="shared" si="1877"/>
        <v>81</v>
      </c>
      <c r="EP140" s="62">
        <f t="shared" si="1886"/>
        <v>9562215.7895999998</v>
      </c>
      <c r="EQ140" s="62">
        <f t="shared" si="1886"/>
        <v>10062244.596800001</v>
      </c>
      <c r="ER140" s="62">
        <f t="shared" si="1886"/>
        <v>13693049.030400001</v>
      </c>
      <c r="ES140" s="62">
        <f t="shared" si="1886"/>
        <v>11878507.2152</v>
      </c>
      <c r="ET140" s="62">
        <f t="shared" si="1886"/>
        <v>11828304.445599999</v>
      </c>
      <c r="EU140" s="62">
        <f t="shared" si="1886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80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 t="shared" si="1821"/>
        <v>0</v>
      </c>
      <c r="FS140" s="103" t="b">
        <f t="shared" si="1822"/>
        <v>0</v>
      </c>
      <c r="FT140" s="103" t="b">
        <f t="shared" si="1823"/>
        <v>0</v>
      </c>
      <c r="FU140" s="103" t="b">
        <f t="shared" si="1824"/>
        <v>0</v>
      </c>
      <c r="FV140" s="103" t="b">
        <f t="shared" si="1825"/>
        <v>1</v>
      </c>
      <c r="FW140" s="104" t="b">
        <f t="shared" si="1881"/>
        <v>0</v>
      </c>
      <c r="FX140" s="120" t="b">
        <f t="shared" si="1882"/>
        <v>1</v>
      </c>
      <c r="FY140" s="104" t="s">
        <v>491</v>
      </c>
      <c r="FZ140" s="104" t="b">
        <f t="shared" si="1883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84"/>
        <v>1</v>
      </c>
      <c r="GI140" s="8" t="b">
        <f t="shared" si="1885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95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96">Q141*FH141</f>
        <v>4393495.7</v>
      </c>
      <c r="S141" s="131">
        <v>2398</v>
      </c>
      <c r="T141" s="131">
        <v>4393495.7</v>
      </c>
      <c r="U141" s="131">
        <f t="shared" ref="U141:U146" si="1897">IFERROR(ROUNDUP(S141/$EX141,0)*$EY141,0)</f>
        <v>3</v>
      </c>
      <c r="V141" s="113">
        <f t="shared" ref="V141:V146" si="1898">SUM(Z141:AD141)</f>
        <v>2398</v>
      </c>
      <c r="W141" s="113">
        <f t="shared" ref="W141:W146" si="1899">V141*FH141</f>
        <v>4393495.7</v>
      </c>
      <c r="X141" s="113">
        <f t="shared" ref="X141:X146" si="1900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901">AA141*FH141</f>
        <v>0</v>
      </c>
      <c r="AF141" s="95">
        <f t="shared" ref="AF141:AF146" si="1902">AB141*FH141</f>
        <v>3664300</v>
      </c>
      <c r="AG141" s="114">
        <v>0</v>
      </c>
      <c r="AH141" s="95">
        <f t="shared" ref="AH141:AH146" si="1903">V141-AG141</f>
        <v>2398</v>
      </c>
      <c r="AI141" s="114">
        <f t="shared" ref="AI141:AI146" si="1904">IF(AH141&gt;0,AH141*FH141,0)</f>
        <v>4393495.7</v>
      </c>
      <c r="AJ141" s="133">
        <f t="shared" ref="AJ141:AJ146" si="1905">CU141</f>
        <v>0</v>
      </c>
      <c r="AK141" s="133">
        <f t="shared" si="1837"/>
        <v>0</v>
      </c>
      <c r="AL141" s="133">
        <f t="shared" ref="AL141:AL146" si="1906">SUM(CP141:CU141)</f>
        <v>0</v>
      </c>
      <c r="AM141" s="133">
        <f t="shared" ref="AM141:AM146" si="1907">SUM(BK141:BP141)</f>
        <v>678.30000000000007</v>
      </c>
      <c r="AN141" s="133">
        <f t="shared" ref="AN141:AN146" si="1908">IFERROR(S141/BQ141*30,"нет оборота")</f>
        <v>424.23706324635111</v>
      </c>
      <c r="AO141" s="133" t="str">
        <f t="shared" ref="AO141:AO146" si="1909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910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911">IF(AT141="Да",W141,0)</f>
        <v>4393495.7</v>
      </c>
      <c r="AX141" s="14">
        <f>MONTH(BC141)-6</f>
        <v>6</v>
      </c>
      <c r="AY141" s="25">
        <f t="shared" ref="AY141:AY146" si="1912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913">BE141*FH141</f>
        <v>0</v>
      </c>
      <c r="BG141" s="32">
        <v>0</v>
      </c>
      <c r="BH141" s="32">
        <f t="shared" ref="BH141:BH146" si="1914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915">IF(COUNTIF(BK141:BP141,"&gt;0")=0,0,SUM(BK141:BP141)/COUNTIF(BK141:BP141,"&gt;0"))</f>
        <v>169.57500000000002</v>
      </c>
      <c r="BR141" s="95">
        <f t="shared" ref="BR141:BR146" si="1916">IF(OR(Q141=0,SUM(BK141:BP141)=0,V141&gt;Q141),V141-BK141,Q141-BK141)</f>
        <v>2136.1999999999998</v>
      </c>
      <c r="BS141" s="133">
        <f t="shared" si="1894"/>
        <v>2136.1999999999998</v>
      </c>
      <c r="BT141" s="133">
        <f t="shared" si="1894"/>
        <v>2136.1999999999998</v>
      </c>
      <c r="BU141" s="133">
        <f t="shared" si="1894"/>
        <v>1993.3999999999999</v>
      </c>
      <c r="BV141" s="133">
        <f t="shared" si="1894"/>
        <v>1850.6</v>
      </c>
      <c r="BW141" s="133">
        <f t="shared" si="1894"/>
        <v>1719.6999999999998</v>
      </c>
      <c r="BX141" s="133">
        <f t="shared" ref="BX141:CO143" si="1917">BW141-$BQ141</f>
        <v>1550.1249999999998</v>
      </c>
      <c r="BY141" s="133">
        <f t="shared" si="1917"/>
        <v>1380.5499999999997</v>
      </c>
      <c r="BZ141" s="133">
        <f t="shared" si="1917"/>
        <v>1210.9749999999997</v>
      </c>
      <c r="CA141" s="133">
        <f t="shared" si="1917"/>
        <v>1041.3999999999996</v>
      </c>
      <c r="CB141" s="133">
        <f t="shared" si="1917"/>
        <v>871.82499999999959</v>
      </c>
      <c r="CC141" s="133">
        <f t="shared" si="1917"/>
        <v>702.24999999999955</v>
      </c>
      <c r="CD141" s="133">
        <f t="shared" si="1917"/>
        <v>532.6749999999995</v>
      </c>
      <c r="CE141" s="133">
        <f t="shared" si="1917"/>
        <v>363.09999999999945</v>
      </c>
      <c r="CF141" s="133">
        <f t="shared" si="1917"/>
        <v>193.52499999999944</v>
      </c>
      <c r="CG141" s="133">
        <f t="shared" si="1917"/>
        <v>23.94999999999942</v>
      </c>
      <c r="CH141" s="133">
        <f t="shared" si="1917"/>
        <v>-145.6250000000006</v>
      </c>
      <c r="CI141" s="133">
        <f t="shared" si="1917"/>
        <v>-315.20000000000061</v>
      </c>
      <c r="CJ141" s="133">
        <f t="shared" si="1917"/>
        <v>-484.77500000000066</v>
      </c>
      <c r="CK141" s="133">
        <f t="shared" si="1917"/>
        <v>-654.3500000000007</v>
      </c>
      <c r="CL141" s="133">
        <f t="shared" si="1917"/>
        <v>-823.92500000000075</v>
      </c>
      <c r="CM141" s="133">
        <f t="shared" si="1917"/>
        <v>-993.5000000000008</v>
      </c>
      <c r="CN141" s="133">
        <f t="shared" si="1917"/>
        <v>-1163.0750000000007</v>
      </c>
      <c r="CO141" s="133">
        <f t="shared" si="1917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18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89"/>
        <v>0</v>
      </c>
      <c r="DB141" s="4">
        <f t="shared" si="1890"/>
        <v>0</v>
      </c>
      <c r="DC141" s="4">
        <f t="shared" si="1891"/>
        <v>0</v>
      </c>
      <c r="DD141" s="136">
        <f t="shared" si="1892"/>
        <v>0</v>
      </c>
      <c r="DE141" s="31">
        <v>0</v>
      </c>
      <c r="DF141" s="31">
        <v>45</v>
      </c>
      <c r="DG141" s="31">
        <v>2000</v>
      </c>
      <c r="DH141" s="48">
        <f t="shared" ref="DH141:DH146" si="1919">IFERROR(ROUNDUP(DG141/$EX141,0)*$EY141,0)</f>
        <v>2</v>
      </c>
      <c r="DI141" s="62">
        <v>2398</v>
      </c>
      <c r="DJ141" s="62">
        <v>4393492.66</v>
      </c>
      <c r="DK141" s="48">
        <f t="shared" ref="DK141:DK146" si="1920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21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22">IFERROR(ROUNDUP(DS141/$EX141,0)*$EY141,0)</f>
        <v>3</v>
      </c>
      <c r="DV141" s="62">
        <v>0</v>
      </c>
      <c r="DW141" s="62">
        <v>0</v>
      </c>
      <c r="DX141" s="62">
        <f t="shared" ref="DX141:DX146" si="1923">$DF141*BK141/30</f>
        <v>392.7</v>
      </c>
      <c r="DY141" s="62">
        <f t="shared" ref="DY141:DY146" si="1924">DX141*$FH141</f>
        <v>719485.30500000005</v>
      </c>
      <c r="DZ141" s="48">
        <f t="shared" ref="DZ141:DZ146" si="1925">IFERROR(ROUNDUP(DX141/$EX141,0)*$EY141,0)</f>
        <v>1</v>
      </c>
      <c r="EA141" s="62">
        <f t="shared" ref="EA141:EA146" si="1926">$DF141*BL141/30</f>
        <v>0</v>
      </c>
      <c r="EB141" s="62">
        <f t="shared" ref="EB141:EB146" si="1927">EA141*$FH141</f>
        <v>0</v>
      </c>
      <c r="EC141" s="48">
        <f t="shared" ref="EC141:EC146" si="1928">IFERROR(ROUNDUP(EA141/$EX141,0)*$EY141,0)</f>
        <v>0</v>
      </c>
      <c r="ED141" s="62">
        <f t="shared" ref="ED141:ED146" si="1929">$DF141*BM141/30</f>
        <v>0</v>
      </c>
      <c r="EE141" s="62">
        <f t="shared" ref="EE141:EE146" si="1930">ED141*$FH141</f>
        <v>0</v>
      </c>
      <c r="EF141" s="48">
        <f t="shared" ref="EF141:EF146" si="1931">IFERROR(ROUNDUP(ED141/$EX141,0)*$EY141,0)</f>
        <v>0</v>
      </c>
      <c r="EG141" s="62">
        <f t="shared" ref="EG141:EG146" si="1932">$DF141*BN141/30</f>
        <v>214.20000000000002</v>
      </c>
      <c r="EH141" s="62">
        <f t="shared" ref="EH141:EH146" si="1933">EG141*$FH141</f>
        <v>392446.53</v>
      </c>
      <c r="EI141" s="48">
        <f t="shared" ref="EI141:EI146" si="1934">IFERROR(ROUNDUP(EG141/$EX141,0)*$EY141,0)</f>
        <v>1</v>
      </c>
      <c r="EJ141" s="62">
        <f t="shared" ref="EJ141:EJ146" si="1935">$DF141*BO141/30</f>
        <v>214.20000000000002</v>
      </c>
      <c r="EK141" s="62">
        <f t="shared" ref="EK141:EK146" si="1936">EJ141*$FH141</f>
        <v>392446.53</v>
      </c>
      <c r="EL141" s="48">
        <f t="shared" ref="EL141:EL146" si="1937">IFERROR(ROUNDUP(EJ141/$EX141,0)*$EY141,0)</f>
        <v>1</v>
      </c>
      <c r="EM141" s="62">
        <f t="shared" ref="EM141:EM146" si="1938">$DF141*BP141/30</f>
        <v>196.35</v>
      </c>
      <c r="EN141" s="62">
        <f t="shared" ref="EN141:EN146" si="1939">EM141*$FH141</f>
        <v>359742.65250000003</v>
      </c>
      <c r="EO141" s="48">
        <f t="shared" ref="EO141:EO146" si="1940">IFERROR(ROUNDUP(EM141/$EX141,0)*$EY141,0)</f>
        <v>1</v>
      </c>
      <c r="EP141" s="62">
        <f t="shared" ref="EP141:ER145" si="1941">BK141*$FH141</f>
        <v>479656.87000000005</v>
      </c>
      <c r="EQ141" s="62">
        <f t="shared" si="1941"/>
        <v>0</v>
      </c>
      <c r="ER141" s="62">
        <f t="shared" si="1941"/>
        <v>0</v>
      </c>
      <c r="ES141" s="62">
        <f t="shared" ref="ES141:EU145" si="1942">BN141*$FH141</f>
        <v>261631.02000000005</v>
      </c>
      <c r="ET141" s="62">
        <f t="shared" si="1942"/>
        <v>261631.02000000005</v>
      </c>
      <c r="EU141" s="62">
        <f t="shared" si="1942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43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 t="shared" si="1821"/>
        <v>1</v>
      </c>
      <c r="FS141" s="103" t="b">
        <f t="shared" si="1822"/>
        <v>1</v>
      </c>
      <c r="FT141" s="103" t="b">
        <f t="shared" si="1823"/>
        <v>1</v>
      </c>
      <c r="FU141" s="103" t="b">
        <f t="shared" si="1824"/>
        <v>0</v>
      </c>
      <c r="FV141" s="103" t="b">
        <f t="shared" si="1825"/>
        <v>1</v>
      </c>
      <c r="FW141" s="104" t="b">
        <f t="shared" si="1881"/>
        <v>0</v>
      </c>
      <c r="FX141" s="120" t="b">
        <f t="shared" ref="FX141:FX146" si="1944">EXACT(FQ141,BI141)</f>
        <v>1</v>
      </c>
      <c r="FY141" s="104" t="s">
        <v>491</v>
      </c>
      <c r="FZ141" s="104" t="b">
        <f t="shared" ref="FZ141:FZ146" si="1945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46">EXACT(GD141,C141)</f>
        <v>1</v>
      </c>
      <c r="GI141" s="8" t="b">
        <f t="shared" ref="GI141:GI146" si="1947">EXACT(GG141,G141)</f>
        <v>0</v>
      </c>
      <c r="GJ141" s="31" t="s">
        <v>203</v>
      </c>
    </row>
    <row r="142" spans="1:192" ht="30" hidden="1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95"/>
        <v>нет минмакс</v>
      </c>
      <c r="Q142" s="95">
        <v>27391</v>
      </c>
      <c r="R142" s="95">
        <f t="shared" si="1896"/>
        <v>3252407.34</v>
      </c>
      <c r="S142" s="114">
        <v>35114</v>
      </c>
      <c r="T142" s="114">
        <v>4193665.02</v>
      </c>
      <c r="U142" s="131">
        <f t="shared" si="1897"/>
        <v>586</v>
      </c>
      <c r="V142" s="115">
        <f t="shared" si="1898"/>
        <v>58561</v>
      </c>
      <c r="W142" s="115">
        <f t="shared" si="1899"/>
        <v>6953533.1399999997</v>
      </c>
      <c r="X142" s="115">
        <f t="shared" si="1900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901"/>
        <v>0</v>
      </c>
      <c r="AF142" s="95">
        <f t="shared" si="1902"/>
        <v>0</v>
      </c>
      <c r="AG142" s="114">
        <v>0</v>
      </c>
      <c r="AH142" s="95">
        <f t="shared" si="1903"/>
        <v>58561</v>
      </c>
      <c r="AI142" s="114">
        <f t="shared" si="1904"/>
        <v>6953533.1399999997</v>
      </c>
      <c r="AJ142" s="114">
        <f t="shared" si="1905"/>
        <v>2972</v>
      </c>
      <c r="AK142" s="114">
        <f t="shared" si="1837"/>
        <v>21352</v>
      </c>
      <c r="AL142" s="114">
        <f t="shared" si="1906"/>
        <v>67568</v>
      </c>
      <c r="AM142" s="114">
        <f t="shared" si="1907"/>
        <v>135413</v>
      </c>
      <c r="AN142" s="133">
        <f t="shared" si="1908"/>
        <v>46.675873069793887</v>
      </c>
      <c r="AO142" s="133" t="str">
        <f t="shared" si="1909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910"/>
        <v>0-04</v>
      </c>
      <c r="AW142" s="126">
        <f t="shared" si="1911"/>
        <v>0</v>
      </c>
      <c r="AX142" s="138"/>
      <c r="AY142" s="115">
        <f t="shared" si="1912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913"/>
        <v>0</v>
      </c>
      <c r="BG142" s="32">
        <v>0</v>
      </c>
      <c r="BH142" s="32">
        <f t="shared" si="1914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915"/>
        <v>22568.833333333332</v>
      </c>
      <c r="BR142" s="95">
        <f t="shared" si="1916"/>
        <v>48236</v>
      </c>
      <c r="BS142" s="133">
        <f t="shared" si="1894"/>
        <v>29842</v>
      </c>
      <c r="BT142" s="133">
        <f t="shared" si="1894"/>
        <v>1797</v>
      </c>
      <c r="BU142" s="133">
        <f t="shared" si="1894"/>
        <v>-28888</v>
      </c>
      <c r="BV142" s="133">
        <f t="shared" si="1894"/>
        <v>-57817</v>
      </c>
      <c r="BW142" s="133">
        <f t="shared" si="1894"/>
        <v>-76852</v>
      </c>
      <c r="BX142" s="133">
        <f t="shared" si="1917"/>
        <v>-99420.833333333328</v>
      </c>
      <c r="BY142" s="133">
        <f t="shared" si="1917"/>
        <v>-121989.66666666666</v>
      </c>
      <c r="BZ142" s="133">
        <f t="shared" si="1917"/>
        <v>-144558.5</v>
      </c>
      <c r="CA142" s="133">
        <f t="shared" si="1917"/>
        <v>-167127.33333333334</v>
      </c>
      <c r="CB142" s="133">
        <f t="shared" si="1917"/>
        <v>-189696.16666666669</v>
      </c>
      <c r="CC142" s="133">
        <f t="shared" si="1917"/>
        <v>-212265.00000000003</v>
      </c>
      <c r="CD142" s="133">
        <f t="shared" si="1917"/>
        <v>-234833.83333333337</v>
      </c>
      <c r="CE142" s="133">
        <f t="shared" si="1917"/>
        <v>-257402.66666666672</v>
      </c>
      <c r="CF142" s="133">
        <f t="shared" si="1917"/>
        <v>-279971.50000000006</v>
      </c>
      <c r="CG142" s="133">
        <f t="shared" si="1917"/>
        <v>-302540.33333333337</v>
      </c>
      <c r="CH142" s="133">
        <f t="shared" si="1917"/>
        <v>-325109.16666666669</v>
      </c>
      <c r="CI142" s="133">
        <f t="shared" si="1917"/>
        <v>-347678</v>
      </c>
      <c r="CJ142" s="133">
        <f t="shared" si="1917"/>
        <v>-370246.83333333331</v>
      </c>
      <c r="CK142" s="133">
        <f t="shared" si="1917"/>
        <v>-392815.66666666663</v>
      </c>
      <c r="CL142" s="133">
        <f t="shared" si="1917"/>
        <v>-415384.49999999994</v>
      </c>
      <c r="CM142" s="133">
        <f t="shared" si="1917"/>
        <v>-437953.33333333326</v>
      </c>
      <c r="CN142" s="133">
        <f t="shared" si="1917"/>
        <v>-460522.16666666657</v>
      </c>
      <c r="CO142" s="133">
        <f t="shared" si="1917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18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89"/>
        <v>0</v>
      </c>
      <c r="DB142" s="4">
        <f t="shared" si="1890"/>
        <v>0</v>
      </c>
      <c r="DC142" s="4">
        <f t="shared" si="1891"/>
        <v>0</v>
      </c>
      <c r="DD142" s="136">
        <f t="shared" si="1892"/>
        <v>0</v>
      </c>
      <c r="DE142" s="31">
        <v>0</v>
      </c>
      <c r="DG142" s="31">
        <v>0</v>
      </c>
      <c r="DH142" s="48">
        <f t="shared" si="1919"/>
        <v>0</v>
      </c>
      <c r="DI142" s="62">
        <v>34146.644</v>
      </c>
      <c r="DJ142" s="62">
        <v>3943503.4790000003</v>
      </c>
      <c r="DK142" s="48">
        <f t="shared" si="1920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21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22"/>
        <v>684</v>
      </c>
      <c r="DV142" s="62">
        <v>13263</v>
      </c>
      <c r="DW142" s="62">
        <v>1580065.4555290858</v>
      </c>
      <c r="DX142" s="62">
        <f t="shared" si="1923"/>
        <v>0</v>
      </c>
      <c r="DY142" s="62">
        <f t="shared" si="1924"/>
        <v>0</v>
      </c>
      <c r="DZ142" s="48">
        <f t="shared" si="1925"/>
        <v>0</v>
      </c>
      <c r="EA142" s="62">
        <f t="shared" si="1926"/>
        <v>0</v>
      </c>
      <c r="EB142" s="62">
        <f t="shared" si="1927"/>
        <v>0</v>
      </c>
      <c r="EC142" s="48">
        <f t="shared" si="1928"/>
        <v>0</v>
      </c>
      <c r="ED142" s="62">
        <f t="shared" si="1929"/>
        <v>0</v>
      </c>
      <c r="EE142" s="62">
        <f t="shared" si="1930"/>
        <v>0</v>
      </c>
      <c r="EF142" s="48">
        <f t="shared" si="1931"/>
        <v>0</v>
      </c>
      <c r="EG142" s="62">
        <f t="shared" si="1932"/>
        <v>0</v>
      </c>
      <c r="EH142" s="62">
        <f t="shared" si="1933"/>
        <v>0</v>
      </c>
      <c r="EI142" s="48">
        <f t="shared" si="1934"/>
        <v>0</v>
      </c>
      <c r="EJ142" s="62">
        <f t="shared" si="1935"/>
        <v>0</v>
      </c>
      <c r="EK142" s="62">
        <f t="shared" si="1936"/>
        <v>0</v>
      </c>
      <c r="EL142" s="48">
        <f t="shared" si="1937"/>
        <v>0</v>
      </c>
      <c r="EM142" s="62">
        <f t="shared" si="1938"/>
        <v>0</v>
      </c>
      <c r="EN142" s="62">
        <f t="shared" si="1939"/>
        <v>0</v>
      </c>
      <c r="EO142" s="48">
        <f t="shared" si="1940"/>
        <v>0</v>
      </c>
      <c r="EP142" s="62">
        <f t="shared" si="1941"/>
        <v>1225990.5</v>
      </c>
      <c r="EQ142" s="62">
        <f t="shared" si="1941"/>
        <v>2184103.56</v>
      </c>
      <c r="ER142" s="62">
        <f t="shared" si="1941"/>
        <v>3330063.3</v>
      </c>
      <c r="ES142" s="62">
        <f t="shared" si="1942"/>
        <v>3643536.9</v>
      </c>
      <c r="ET142" s="62">
        <f t="shared" si="1942"/>
        <v>3435029.46</v>
      </c>
      <c r="EU142" s="62">
        <f t="shared" si="1942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43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 t="shared" si="1821"/>
        <v>1</v>
      </c>
      <c r="FS142" s="120" t="b">
        <f t="shared" si="1822"/>
        <v>1</v>
      </c>
      <c r="FT142" s="120" t="b">
        <f t="shared" si="1823"/>
        <v>1</v>
      </c>
      <c r="FU142" s="120" t="b">
        <f t="shared" si="1824"/>
        <v>1</v>
      </c>
      <c r="FV142" s="120" t="b">
        <f t="shared" si="1825"/>
        <v>1</v>
      </c>
      <c r="FW142" s="104" t="b">
        <f t="shared" si="1881"/>
        <v>0</v>
      </c>
      <c r="FX142" s="120" t="b">
        <f t="shared" si="1944"/>
        <v>1</v>
      </c>
      <c r="FY142" s="104" t="s">
        <v>368</v>
      </c>
      <c r="FZ142" s="104" t="b">
        <f t="shared" si="1945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46"/>
        <v>1</v>
      </c>
      <c r="GI142" s="8" t="b">
        <f t="shared" si="1947"/>
        <v>0</v>
      </c>
      <c r="GJ142" s="31" t="s">
        <v>203</v>
      </c>
    </row>
    <row r="143" spans="1:192" hidden="1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95"/>
        <v>нет минмакс</v>
      </c>
      <c r="Q143" s="95">
        <v>150838</v>
      </c>
      <c r="R143" s="95">
        <f t="shared" si="1896"/>
        <v>2518994.6</v>
      </c>
      <c r="S143" s="114">
        <v>208230</v>
      </c>
      <c r="T143" s="114">
        <v>3856419.6</v>
      </c>
      <c r="U143" s="131">
        <f t="shared" si="1897"/>
        <v>476</v>
      </c>
      <c r="V143" s="115">
        <f t="shared" si="1898"/>
        <v>103224</v>
      </c>
      <c r="W143" s="115">
        <f t="shared" si="1899"/>
        <v>1723840.7999999998</v>
      </c>
      <c r="X143" s="115">
        <f t="shared" si="1900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901"/>
        <v>0</v>
      </c>
      <c r="AF143" s="95">
        <f t="shared" si="1902"/>
        <v>0</v>
      </c>
      <c r="AG143" s="114">
        <v>0</v>
      </c>
      <c r="AH143" s="95">
        <f t="shared" si="1903"/>
        <v>103224</v>
      </c>
      <c r="AI143" s="114">
        <f t="shared" si="1904"/>
        <v>1723840.7999999998</v>
      </c>
      <c r="AJ143" s="114">
        <f t="shared" si="1905"/>
        <v>91635</v>
      </c>
      <c r="AK143" s="114">
        <f t="shared" ref="AK143:AK147" si="1948">SUM(CS143:CU143)</f>
        <v>323227</v>
      </c>
      <c r="AL143" s="114">
        <f t="shared" si="1906"/>
        <v>533747</v>
      </c>
      <c r="AM143" s="114">
        <f t="shared" si="1907"/>
        <v>741072</v>
      </c>
      <c r="AN143" s="133">
        <f t="shared" si="1908"/>
        <v>50.577271844031351</v>
      </c>
      <c r="AO143" s="133" t="str">
        <f t="shared" si="1909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910"/>
        <v>0-02</v>
      </c>
      <c r="AW143" s="126">
        <f t="shared" si="1911"/>
        <v>0</v>
      </c>
      <c r="AX143" s="138"/>
      <c r="AY143" s="115">
        <f t="shared" si="1912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913"/>
        <v>0</v>
      </c>
      <c r="BG143" s="32">
        <v>0</v>
      </c>
      <c r="BH143" s="32">
        <f t="shared" si="1914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915"/>
        <v>123512</v>
      </c>
      <c r="BR143" s="95">
        <f t="shared" si="1916"/>
        <v>22535</v>
      </c>
      <c r="BS143" s="133">
        <f t="shared" si="1894"/>
        <v>-90234</v>
      </c>
      <c r="BT143" s="133">
        <f t="shared" si="1894"/>
        <v>-213255</v>
      </c>
      <c r="BU143" s="133">
        <f t="shared" si="1894"/>
        <v>-343506</v>
      </c>
      <c r="BV143" s="133">
        <f t="shared" si="1894"/>
        <v>-468465</v>
      </c>
      <c r="BW143" s="133">
        <f t="shared" si="1894"/>
        <v>-590234</v>
      </c>
      <c r="BX143" s="133">
        <f t="shared" si="1917"/>
        <v>-713746</v>
      </c>
      <c r="BY143" s="133">
        <f t="shared" si="1917"/>
        <v>-837258</v>
      </c>
      <c r="BZ143" s="133">
        <f t="shared" si="1917"/>
        <v>-960770</v>
      </c>
      <c r="CA143" s="133">
        <f t="shared" ref="CA143:CO143" si="1949">BZ143-$BQ143</f>
        <v>-1084282</v>
      </c>
      <c r="CB143" s="133">
        <f t="shared" si="1949"/>
        <v>-1207794</v>
      </c>
      <c r="CC143" s="133">
        <f t="shared" si="1949"/>
        <v>-1331306</v>
      </c>
      <c r="CD143" s="133">
        <f t="shared" si="1949"/>
        <v>-1454818</v>
      </c>
      <c r="CE143" s="133">
        <f t="shared" si="1949"/>
        <v>-1578330</v>
      </c>
      <c r="CF143" s="133">
        <f t="shared" si="1949"/>
        <v>-1701842</v>
      </c>
      <c r="CG143" s="133">
        <f t="shared" si="1949"/>
        <v>-1825354</v>
      </c>
      <c r="CH143" s="133">
        <f t="shared" si="1949"/>
        <v>-1948866</v>
      </c>
      <c r="CI143" s="133">
        <f t="shared" si="1949"/>
        <v>-2072378</v>
      </c>
      <c r="CJ143" s="133">
        <f t="shared" si="1949"/>
        <v>-2195890</v>
      </c>
      <c r="CK143" s="133">
        <f t="shared" si="1949"/>
        <v>-2319402</v>
      </c>
      <c r="CL143" s="133">
        <f t="shared" si="1949"/>
        <v>-2442914</v>
      </c>
      <c r="CM143" s="133">
        <f t="shared" si="1949"/>
        <v>-2566426</v>
      </c>
      <c r="CN143" s="133">
        <f t="shared" si="1949"/>
        <v>-2689938</v>
      </c>
      <c r="CO143" s="133">
        <f t="shared" si="1949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18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89"/>
        <v>0</v>
      </c>
      <c r="DB143" s="4">
        <f t="shared" si="1890"/>
        <v>0</v>
      </c>
      <c r="DC143" s="4">
        <f t="shared" si="1891"/>
        <v>0</v>
      </c>
      <c r="DD143" s="136">
        <f t="shared" si="1892"/>
        <v>0</v>
      </c>
      <c r="DE143" s="31">
        <v>0</v>
      </c>
      <c r="DG143" s="31">
        <v>0</v>
      </c>
      <c r="DH143" s="48">
        <f t="shared" si="1919"/>
        <v>0</v>
      </c>
      <c r="DI143" s="62">
        <v>28103.452000000001</v>
      </c>
      <c r="DJ143" s="62">
        <v>505454.12900000002</v>
      </c>
      <c r="DK143" s="48">
        <f t="shared" si="1920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21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22"/>
        <v>307</v>
      </c>
      <c r="DV143" s="62">
        <v>118526</v>
      </c>
      <c r="DW143" s="62">
        <v>2162762.9511120869</v>
      </c>
      <c r="DX143" s="62">
        <f t="shared" si="1923"/>
        <v>0</v>
      </c>
      <c r="DY143" s="62">
        <f t="shared" si="1924"/>
        <v>0</v>
      </c>
      <c r="DZ143" s="48">
        <f t="shared" si="1925"/>
        <v>0</v>
      </c>
      <c r="EA143" s="62">
        <f t="shared" si="1926"/>
        <v>0</v>
      </c>
      <c r="EB143" s="62">
        <f t="shared" si="1927"/>
        <v>0</v>
      </c>
      <c r="EC143" s="48">
        <f t="shared" si="1928"/>
        <v>0</v>
      </c>
      <c r="ED143" s="62">
        <f t="shared" si="1929"/>
        <v>0</v>
      </c>
      <c r="EE143" s="62">
        <f t="shared" si="1930"/>
        <v>0</v>
      </c>
      <c r="EF143" s="48">
        <f t="shared" si="1931"/>
        <v>0</v>
      </c>
      <c r="EG143" s="62">
        <f t="shared" si="1932"/>
        <v>0</v>
      </c>
      <c r="EH143" s="62">
        <f t="shared" si="1933"/>
        <v>0</v>
      </c>
      <c r="EI143" s="48">
        <f t="shared" si="1934"/>
        <v>0</v>
      </c>
      <c r="EJ143" s="62">
        <f t="shared" si="1935"/>
        <v>0</v>
      </c>
      <c r="EK143" s="62">
        <f t="shared" si="1936"/>
        <v>0</v>
      </c>
      <c r="EL143" s="48">
        <f t="shared" si="1937"/>
        <v>0</v>
      </c>
      <c r="EM143" s="62">
        <f t="shared" si="1938"/>
        <v>0</v>
      </c>
      <c r="EN143" s="62">
        <f t="shared" si="1939"/>
        <v>0</v>
      </c>
      <c r="EO143" s="48">
        <f t="shared" si="1940"/>
        <v>0</v>
      </c>
      <c r="EP143" s="62">
        <f t="shared" si="1941"/>
        <v>2142660.1</v>
      </c>
      <c r="EQ143" s="62">
        <f t="shared" si="1941"/>
        <v>1883242.2999999998</v>
      </c>
      <c r="ER143" s="62">
        <f t="shared" si="1941"/>
        <v>2054450.7</v>
      </c>
      <c r="ES143" s="62">
        <f t="shared" si="1942"/>
        <v>2175191.6999999997</v>
      </c>
      <c r="ET143" s="62">
        <f t="shared" si="1942"/>
        <v>2086815.2999999998</v>
      </c>
      <c r="EU143" s="62">
        <f t="shared" si="1942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43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 t="shared" si="1821"/>
        <v>1</v>
      </c>
      <c r="FS143" s="120" t="b">
        <f t="shared" si="1822"/>
        <v>1</v>
      </c>
      <c r="FT143" s="120" t="b">
        <f t="shared" si="1823"/>
        <v>1</v>
      </c>
      <c r="FU143" s="120" t="b">
        <f t="shared" si="1824"/>
        <v>1</v>
      </c>
      <c r="FV143" s="120" t="b">
        <f t="shared" si="1825"/>
        <v>1</v>
      </c>
      <c r="FW143" s="104" t="b">
        <f t="shared" si="1881"/>
        <v>0</v>
      </c>
      <c r="FX143" s="120" t="b">
        <f t="shared" si="1944"/>
        <v>1</v>
      </c>
      <c r="FY143" s="104" t="s">
        <v>368</v>
      </c>
      <c r="FZ143" s="104" t="b">
        <f t="shared" si="1945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46"/>
        <v>1</v>
      </c>
      <c r="GI143" s="8" t="b">
        <f t="shared" si="1947"/>
        <v>0</v>
      </c>
      <c r="GJ143" s="31" t="s">
        <v>203</v>
      </c>
    </row>
    <row r="144" spans="1:192" ht="30" hidden="1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95"/>
        <v>нет минмакс</v>
      </c>
      <c r="Q144" s="95">
        <v>76750</v>
      </c>
      <c r="R144" s="95">
        <f t="shared" si="1896"/>
        <v>10361250</v>
      </c>
      <c r="S144" s="131">
        <v>22000</v>
      </c>
      <c r="T144" s="131">
        <v>2970000</v>
      </c>
      <c r="U144" s="131">
        <f t="shared" si="1897"/>
        <v>24</v>
      </c>
      <c r="V144" s="113">
        <f t="shared" si="1898"/>
        <v>75170</v>
      </c>
      <c r="W144" s="113">
        <f t="shared" si="1899"/>
        <v>10147950</v>
      </c>
      <c r="X144" s="113">
        <f t="shared" si="1900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901"/>
        <v>0</v>
      </c>
      <c r="AF144" s="95">
        <f t="shared" si="1902"/>
        <v>0</v>
      </c>
      <c r="AG144" s="114">
        <v>0</v>
      </c>
      <c r="AH144" s="95">
        <f t="shared" si="1903"/>
        <v>75170</v>
      </c>
      <c r="AI144" s="114">
        <f t="shared" si="1904"/>
        <v>10147950</v>
      </c>
      <c r="AJ144" s="133">
        <f t="shared" si="1905"/>
        <v>51194</v>
      </c>
      <c r="AK144" s="133">
        <f t="shared" si="1948"/>
        <v>121001</v>
      </c>
      <c r="AL144" s="133">
        <f t="shared" si="1906"/>
        <v>121001</v>
      </c>
      <c r="AM144" s="133">
        <f t="shared" si="1907"/>
        <v>0</v>
      </c>
      <c r="AN144" s="133" t="str">
        <f t="shared" si="1908"/>
        <v>нет оборота</v>
      </c>
      <c r="AO144" s="133" t="str">
        <f t="shared" si="1909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910"/>
        <v>Нет планов</v>
      </c>
      <c r="AW144" s="117">
        <f t="shared" si="1911"/>
        <v>10147950</v>
      </c>
      <c r="AX144" s="14">
        <f>MONTH(BC144)-6</f>
        <v>2</v>
      </c>
      <c r="AY144" s="25">
        <f t="shared" si="1912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913"/>
        <v>0</v>
      </c>
      <c r="BG144" s="32">
        <v>0</v>
      </c>
      <c r="BH144" s="32">
        <f t="shared" si="1914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915"/>
        <v>0</v>
      </c>
      <c r="BR144" s="95">
        <f t="shared" si="1916"/>
        <v>75170</v>
      </c>
      <c r="BS144" s="133">
        <f t="shared" si="1894"/>
        <v>75170</v>
      </c>
      <c r="BT144" s="133">
        <f t="shared" si="1894"/>
        <v>75170</v>
      </c>
      <c r="BU144" s="133">
        <f t="shared" si="1894"/>
        <v>75170</v>
      </c>
      <c r="BV144" s="133">
        <f t="shared" si="1894"/>
        <v>75170</v>
      </c>
      <c r="BW144" s="133">
        <f t="shared" si="1894"/>
        <v>75170</v>
      </c>
      <c r="BX144" s="133">
        <f t="shared" ref="BX144:CO145" si="1950">BW144-$BQ144</f>
        <v>75170</v>
      </c>
      <c r="BY144" s="133">
        <f t="shared" si="1950"/>
        <v>75170</v>
      </c>
      <c r="BZ144" s="133">
        <f t="shared" si="1950"/>
        <v>75170</v>
      </c>
      <c r="CA144" s="133">
        <f t="shared" si="1950"/>
        <v>75170</v>
      </c>
      <c r="CB144" s="133">
        <f t="shared" si="1950"/>
        <v>75170</v>
      </c>
      <c r="CC144" s="133">
        <f t="shared" si="1950"/>
        <v>75170</v>
      </c>
      <c r="CD144" s="133">
        <f t="shared" si="1950"/>
        <v>75170</v>
      </c>
      <c r="CE144" s="133">
        <f t="shared" si="1950"/>
        <v>75170</v>
      </c>
      <c r="CF144" s="133">
        <f t="shared" si="1950"/>
        <v>75170</v>
      </c>
      <c r="CG144" s="133">
        <f t="shared" si="1950"/>
        <v>75170</v>
      </c>
      <c r="CH144" s="133">
        <f t="shared" si="1950"/>
        <v>75170</v>
      </c>
      <c r="CI144" s="133">
        <f t="shared" si="1950"/>
        <v>75170</v>
      </c>
      <c r="CJ144" s="133">
        <f t="shared" si="1950"/>
        <v>75170</v>
      </c>
      <c r="CK144" s="133">
        <f t="shared" si="1950"/>
        <v>75170</v>
      </c>
      <c r="CL144" s="133">
        <f t="shared" si="1950"/>
        <v>75170</v>
      </c>
      <c r="CM144" s="133">
        <f t="shared" si="1950"/>
        <v>75170</v>
      </c>
      <c r="CN144" s="133">
        <f t="shared" si="1950"/>
        <v>75170</v>
      </c>
      <c r="CO144" s="133">
        <f t="shared" si="1950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18"/>
        <v>60500.5</v>
      </c>
      <c r="DE144" s="31">
        <v>0</v>
      </c>
      <c r="DF144" s="31">
        <v>30</v>
      </c>
      <c r="DG144" s="31">
        <v>198000</v>
      </c>
      <c r="DH144" s="48">
        <f t="shared" si="1919"/>
        <v>216</v>
      </c>
      <c r="DI144" s="62">
        <v>0</v>
      </c>
      <c r="DJ144" s="62">
        <v>0</v>
      </c>
      <c r="DK144" s="48">
        <f t="shared" si="1920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21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22"/>
        <v>1.5</v>
      </c>
      <c r="DV144" s="62">
        <v>0</v>
      </c>
      <c r="DW144" s="62">
        <v>0</v>
      </c>
      <c r="DX144" s="62">
        <f t="shared" si="1923"/>
        <v>0</v>
      </c>
      <c r="DY144" s="62">
        <f t="shared" si="1924"/>
        <v>0</v>
      </c>
      <c r="DZ144" s="48">
        <f t="shared" si="1925"/>
        <v>0</v>
      </c>
      <c r="EA144" s="62">
        <f t="shared" si="1926"/>
        <v>0</v>
      </c>
      <c r="EB144" s="62">
        <f t="shared" si="1927"/>
        <v>0</v>
      </c>
      <c r="EC144" s="48">
        <f t="shared" si="1928"/>
        <v>0</v>
      </c>
      <c r="ED144" s="62">
        <f t="shared" si="1929"/>
        <v>0</v>
      </c>
      <c r="EE144" s="62">
        <f t="shared" si="1930"/>
        <v>0</v>
      </c>
      <c r="EF144" s="48">
        <f t="shared" si="1931"/>
        <v>0</v>
      </c>
      <c r="EG144" s="62">
        <f t="shared" si="1932"/>
        <v>0</v>
      </c>
      <c r="EH144" s="62">
        <f t="shared" si="1933"/>
        <v>0</v>
      </c>
      <c r="EI144" s="48">
        <f t="shared" si="1934"/>
        <v>0</v>
      </c>
      <c r="EJ144" s="62">
        <f t="shared" si="1935"/>
        <v>0</v>
      </c>
      <c r="EK144" s="62">
        <f t="shared" si="1936"/>
        <v>0</v>
      </c>
      <c r="EL144" s="48">
        <f t="shared" si="1937"/>
        <v>0</v>
      </c>
      <c r="EM144" s="62">
        <f t="shared" si="1938"/>
        <v>0</v>
      </c>
      <c r="EN144" s="62">
        <f t="shared" si="1939"/>
        <v>0</v>
      </c>
      <c r="EO144" s="48">
        <f t="shared" si="1940"/>
        <v>0</v>
      </c>
      <c r="EP144" s="62">
        <f t="shared" si="1941"/>
        <v>0</v>
      </c>
      <c r="EQ144" s="62">
        <f t="shared" si="1941"/>
        <v>0</v>
      </c>
      <c r="ER144" s="62">
        <f t="shared" si="1941"/>
        <v>0</v>
      </c>
      <c r="ES144" s="62">
        <f t="shared" si="1942"/>
        <v>0</v>
      </c>
      <c r="ET144" s="62">
        <f t="shared" si="1942"/>
        <v>0</v>
      </c>
      <c r="EU144" s="62">
        <f t="shared" si="1942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43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 t="shared" si="1821"/>
        <v>1</v>
      </c>
      <c r="FS144" s="103" t="b">
        <f t="shared" si="1822"/>
        <v>1</v>
      </c>
      <c r="FT144" s="103" t="b">
        <f t="shared" si="1823"/>
        <v>1</v>
      </c>
      <c r="FU144" s="103" t="b">
        <f t="shared" si="1824"/>
        <v>1</v>
      </c>
      <c r="FV144" s="103" t="b">
        <f t="shared" si="1825"/>
        <v>1</v>
      </c>
      <c r="FW144" s="104" t="b">
        <f t="shared" si="1881"/>
        <v>0</v>
      </c>
      <c r="FX144" s="120" t="b">
        <f t="shared" si="1944"/>
        <v>1</v>
      </c>
      <c r="FY144" s="104" t="s">
        <v>368</v>
      </c>
      <c r="FZ144" s="104" t="b">
        <f t="shared" si="1945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46"/>
        <v>1</v>
      </c>
      <c r="GI144" s="8" t="b">
        <f t="shared" si="1947"/>
        <v>0</v>
      </c>
      <c r="GJ144" s="31" t="s">
        <v>203</v>
      </c>
    </row>
    <row r="145" spans="1:192" hidden="1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95"/>
        <v>нет минмакс</v>
      </c>
      <c r="Q145" s="95">
        <v>667555</v>
      </c>
      <c r="R145" s="95">
        <f t="shared" si="1896"/>
        <v>3170886.25</v>
      </c>
      <c r="S145" s="114">
        <v>566188</v>
      </c>
      <c r="T145" s="114">
        <v>2768659.32</v>
      </c>
      <c r="U145" s="131">
        <f t="shared" si="1897"/>
        <v>85</v>
      </c>
      <c r="V145" s="115">
        <f t="shared" si="1898"/>
        <v>531521</v>
      </c>
      <c r="W145" s="115">
        <f t="shared" si="1899"/>
        <v>2524724.75</v>
      </c>
      <c r="X145" s="115">
        <f t="shared" si="1900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901"/>
        <v>0</v>
      </c>
      <c r="AF145" s="95">
        <f t="shared" si="1902"/>
        <v>0</v>
      </c>
      <c r="AG145" s="114">
        <v>0</v>
      </c>
      <c r="AH145" s="95">
        <f t="shared" si="1903"/>
        <v>531521</v>
      </c>
      <c r="AI145" s="114">
        <f t="shared" si="1904"/>
        <v>2524724.75</v>
      </c>
      <c r="AJ145" s="114">
        <f t="shared" si="1905"/>
        <v>198116</v>
      </c>
      <c r="AK145" s="114">
        <f t="shared" si="1948"/>
        <v>623539</v>
      </c>
      <c r="AL145" s="114">
        <f t="shared" si="1906"/>
        <v>1181937</v>
      </c>
      <c r="AM145" s="114">
        <f t="shared" si="1907"/>
        <v>1964698</v>
      </c>
      <c r="AN145" s="133">
        <f t="shared" si="1908"/>
        <v>51.872521883770432</v>
      </c>
      <c r="AO145" s="133" t="str">
        <f t="shared" si="1909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910"/>
        <v>0-02</v>
      </c>
      <c r="AW145" s="126">
        <f t="shared" si="1911"/>
        <v>0</v>
      </c>
      <c r="AX145" s="138"/>
      <c r="AY145" s="115">
        <f t="shared" si="1912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913"/>
        <v>0</v>
      </c>
      <c r="BG145" s="32">
        <v>0</v>
      </c>
      <c r="BH145" s="32">
        <f t="shared" si="1914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915"/>
        <v>327449.66666666669</v>
      </c>
      <c r="BR145" s="95">
        <f t="shared" si="1916"/>
        <v>260346</v>
      </c>
      <c r="BS145" s="133">
        <f t="shared" ref="BS145:BW148" si="1951">BR145-BL145</f>
        <v>-31276</v>
      </c>
      <c r="BT145" s="133">
        <f t="shared" si="1951"/>
        <v>-349239</v>
      </c>
      <c r="BU145" s="133">
        <f t="shared" si="1951"/>
        <v>-666823</v>
      </c>
      <c r="BV145" s="133">
        <f t="shared" si="1951"/>
        <v>-982036</v>
      </c>
      <c r="BW145" s="133">
        <f t="shared" si="1951"/>
        <v>-1297143</v>
      </c>
      <c r="BX145" s="133">
        <f t="shared" si="1950"/>
        <v>-1624592.6666666667</v>
      </c>
      <c r="BY145" s="133">
        <f t="shared" si="1950"/>
        <v>-1952042.3333333335</v>
      </c>
      <c r="BZ145" s="133">
        <f t="shared" si="1950"/>
        <v>-2279492</v>
      </c>
      <c r="CA145" s="133">
        <f t="shared" si="1950"/>
        <v>-2606941.6666666665</v>
      </c>
      <c r="CB145" s="133">
        <f t="shared" si="1950"/>
        <v>-2934391.333333333</v>
      </c>
      <c r="CC145" s="133">
        <f t="shared" si="1950"/>
        <v>-3261840.9999999995</v>
      </c>
      <c r="CD145" s="133">
        <f t="shared" si="1950"/>
        <v>-3589290.666666666</v>
      </c>
      <c r="CE145" s="133">
        <f t="shared" si="1950"/>
        <v>-3916740.3333333326</v>
      </c>
      <c r="CF145" s="133">
        <f t="shared" si="1950"/>
        <v>-4244189.9999999991</v>
      </c>
      <c r="CG145" s="133">
        <f t="shared" si="1950"/>
        <v>-4571639.666666666</v>
      </c>
      <c r="CH145" s="133">
        <f t="shared" si="1950"/>
        <v>-4899089.333333333</v>
      </c>
      <c r="CI145" s="133">
        <f t="shared" si="1950"/>
        <v>-5226539</v>
      </c>
      <c r="CJ145" s="133">
        <f t="shared" si="1950"/>
        <v>-5553988.666666667</v>
      </c>
      <c r="CK145" s="133">
        <f t="shared" si="1950"/>
        <v>-5881438.333333334</v>
      </c>
      <c r="CL145" s="133">
        <f t="shared" si="1950"/>
        <v>-6208888.0000000009</v>
      </c>
      <c r="CM145" s="133">
        <f t="shared" si="1950"/>
        <v>-6536337.6666666679</v>
      </c>
      <c r="CN145" s="133">
        <f t="shared" si="1950"/>
        <v>-6863787.3333333349</v>
      </c>
      <c r="CO145" s="133">
        <f t="shared" si="1950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18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52">IFERROR(CZ145/CY145,0)</f>
        <v>0</v>
      </c>
      <c r="DB145" s="4">
        <f t="shared" ref="DB145:DB150" si="1953">CY145*FH145</f>
        <v>0</v>
      </c>
      <c r="DC145" s="4">
        <f t="shared" ref="DC145:DC150" si="1954">CZ145*FH145</f>
        <v>0</v>
      </c>
      <c r="DD145" s="136">
        <f t="shared" ref="DD145:DD150" si="1955">IFERROR(DC145/DB145,0)</f>
        <v>0</v>
      </c>
      <c r="DE145" s="31">
        <v>0</v>
      </c>
      <c r="DG145" s="31">
        <v>0</v>
      </c>
      <c r="DH145" s="48">
        <f t="shared" si="1919"/>
        <v>0</v>
      </c>
      <c r="DI145" s="62">
        <v>306446.42</v>
      </c>
      <c r="DJ145" s="62">
        <v>1437656.7889999999</v>
      </c>
      <c r="DK145" s="48">
        <f t="shared" si="1920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21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22"/>
        <v>68</v>
      </c>
      <c r="DV145" s="62">
        <v>178423</v>
      </c>
      <c r="DW145" s="62">
        <v>868182.91275263706</v>
      </c>
      <c r="DX145" s="62">
        <f t="shared" si="1923"/>
        <v>0</v>
      </c>
      <c r="DY145" s="62">
        <f t="shared" si="1924"/>
        <v>0</v>
      </c>
      <c r="DZ145" s="48">
        <f t="shared" si="1925"/>
        <v>0</v>
      </c>
      <c r="EA145" s="62">
        <f t="shared" si="1926"/>
        <v>0</v>
      </c>
      <c r="EB145" s="62">
        <f t="shared" si="1927"/>
        <v>0</v>
      </c>
      <c r="EC145" s="48">
        <f t="shared" si="1928"/>
        <v>0</v>
      </c>
      <c r="ED145" s="62">
        <f t="shared" si="1929"/>
        <v>0</v>
      </c>
      <c r="EE145" s="62">
        <f t="shared" si="1930"/>
        <v>0</v>
      </c>
      <c r="EF145" s="48">
        <f t="shared" si="1931"/>
        <v>0</v>
      </c>
      <c r="EG145" s="62">
        <f t="shared" si="1932"/>
        <v>0</v>
      </c>
      <c r="EH145" s="62">
        <f t="shared" si="1933"/>
        <v>0</v>
      </c>
      <c r="EI145" s="48">
        <f t="shared" si="1934"/>
        <v>0</v>
      </c>
      <c r="EJ145" s="62">
        <f t="shared" si="1935"/>
        <v>0</v>
      </c>
      <c r="EK145" s="62">
        <f t="shared" si="1936"/>
        <v>0</v>
      </c>
      <c r="EL145" s="48">
        <f t="shared" si="1937"/>
        <v>0</v>
      </c>
      <c r="EM145" s="62">
        <f t="shared" si="1938"/>
        <v>0</v>
      </c>
      <c r="EN145" s="62">
        <f t="shared" si="1939"/>
        <v>0</v>
      </c>
      <c r="EO145" s="48">
        <f t="shared" si="1940"/>
        <v>0</v>
      </c>
      <c r="EP145" s="62">
        <f t="shared" si="1941"/>
        <v>1934242.75</v>
      </c>
      <c r="EQ145" s="62">
        <f t="shared" si="1941"/>
        <v>1385204.5</v>
      </c>
      <c r="ER145" s="62">
        <f t="shared" si="1941"/>
        <v>1510324.25</v>
      </c>
      <c r="ES145" s="62">
        <f t="shared" si="1942"/>
        <v>1508524</v>
      </c>
      <c r="ET145" s="62">
        <f t="shared" si="1942"/>
        <v>1497261.75</v>
      </c>
      <c r="EU145" s="62">
        <f t="shared" si="1942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43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 t="shared" si="1821"/>
        <v>1</v>
      </c>
      <c r="FS145" s="120" t="b">
        <f t="shared" si="1822"/>
        <v>1</v>
      </c>
      <c r="FT145" s="120" t="b">
        <f t="shared" si="1823"/>
        <v>1</v>
      </c>
      <c r="FU145" s="120" t="b">
        <f t="shared" si="1824"/>
        <v>1</v>
      </c>
      <c r="FV145" s="120" t="b">
        <f t="shared" si="1825"/>
        <v>1</v>
      </c>
      <c r="FW145" s="104" t="b">
        <f t="shared" si="1881"/>
        <v>0</v>
      </c>
      <c r="FX145" s="120" t="b">
        <f t="shared" si="1944"/>
        <v>1</v>
      </c>
      <c r="FY145" s="104" t="s">
        <v>368</v>
      </c>
      <c r="FZ145" s="104" t="b">
        <f t="shared" si="1945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46"/>
        <v>1</v>
      </c>
      <c r="GI145" s="8" t="b">
        <f t="shared" si="1947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95"/>
        <v>нет минмакс</v>
      </c>
      <c r="Q146" s="95">
        <v>5806</v>
      </c>
      <c r="R146" s="95">
        <f t="shared" si="1896"/>
        <v>2310497.6999999997</v>
      </c>
      <c r="S146" s="131">
        <v>5806</v>
      </c>
      <c r="T146" s="131">
        <v>2310497.6999999997</v>
      </c>
      <c r="U146" s="131">
        <f t="shared" si="1897"/>
        <v>6</v>
      </c>
      <c r="V146" s="113">
        <f t="shared" si="1898"/>
        <v>5806</v>
      </c>
      <c r="W146" s="113">
        <f t="shared" si="1899"/>
        <v>2310497.6999999997</v>
      </c>
      <c r="X146" s="113">
        <f t="shared" si="1900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901"/>
        <v>0</v>
      </c>
      <c r="AF146" s="95">
        <f t="shared" si="1902"/>
        <v>0</v>
      </c>
      <c r="AG146" s="114">
        <v>0</v>
      </c>
      <c r="AH146" s="95">
        <f t="shared" si="1903"/>
        <v>5806</v>
      </c>
      <c r="AI146" s="114">
        <f t="shared" si="1904"/>
        <v>2310497.6999999997</v>
      </c>
      <c r="AJ146" s="133">
        <f t="shared" si="1905"/>
        <v>0</v>
      </c>
      <c r="AK146" s="133">
        <f t="shared" si="1948"/>
        <v>0</v>
      </c>
      <c r="AL146" s="133">
        <f t="shared" si="1906"/>
        <v>0</v>
      </c>
      <c r="AM146" s="133">
        <f t="shared" si="1907"/>
        <v>0</v>
      </c>
      <c r="AN146" s="133" t="str">
        <f t="shared" si="1908"/>
        <v>нет оборота</v>
      </c>
      <c r="AO146" s="133" t="str">
        <f t="shared" si="1909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910"/>
        <v>Нет планов</v>
      </c>
      <c r="AW146" s="117">
        <f t="shared" si="1911"/>
        <v>2310497.6999999997</v>
      </c>
      <c r="AX146" s="14">
        <f>MONTH(BC146)-6</f>
        <v>2</v>
      </c>
      <c r="AY146" s="25">
        <f t="shared" si="1912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913"/>
        <v>0</v>
      </c>
      <c r="BG146" s="32">
        <v>0</v>
      </c>
      <c r="BH146" s="32">
        <f t="shared" si="1914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915"/>
        <v>0</v>
      </c>
      <c r="BR146" s="95">
        <f t="shared" si="1916"/>
        <v>5806</v>
      </c>
      <c r="BS146" s="133">
        <f t="shared" si="1951"/>
        <v>5806</v>
      </c>
      <c r="BT146" s="133">
        <f t="shared" si="1951"/>
        <v>5806</v>
      </c>
      <c r="BU146" s="133">
        <f t="shared" si="1951"/>
        <v>5806</v>
      </c>
      <c r="BV146" s="133">
        <f t="shared" si="1951"/>
        <v>5806</v>
      </c>
      <c r="BW146" s="133">
        <f t="shared" si="1951"/>
        <v>5806</v>
      </c>
      <c r="BX146" s="133">
        <f t="shared" ref="BX146:CO146" si="1956">BW146-$BQ146</f>
        <v>5806</v>
      </c>
      <c r="BY146" s="133">
        <f t="shared" si="1956"/>
        <v>5806</v>
      </c>
      <c r="BZ146" s="133">
        <f t="shared" si="1956"/>
        <v>5806</v>
      </c>
      <c r="CA146" s="133">
        <f t="shared" si="1956"/>
        <v>5806</v>
      </c>
      <c r="CB146" s="133">
        <f t="shared" si="1956"/>
        <v>5806</v>
      </c>
      <c r="CC146" s="133">
        <f t="shared" si="1956"/>
        <v>5806</v>
      </c>
      <c r="CD146" s="133">
        <f t="shared" si="1956"/>
        <v>5806</v>
      </c>
      <c r="CE146" s="133">
        <f t="shared" si="1956"/>
        <v>5806</v>
      </c>
      <c r="CF146" s="133">
        <f t="shared" si="1956"/>
        <v>5806</v>
      </c>
      <c r="CG146" s="133">
        <f t="shared" si="1956"/>
        <v>5806</v>
      </c>
      <c r="CH146" s="133">
        <f t="shared" si="1956"/>
        <v>5806</v>
      </c>
      <c r="CI146" s="133">
        <f t="shared" si="1956"/>
        <v>5806</v>
      </c>
      <c r="CJ146" s="133">
        <f t="shared" si="1956"/>
        <v>5806</v>
      </c>
      <c r="CK146" s="133">
        <f t="shared" si="1956"/>
        <v>5806</v>
      </c>
      <c r="CL146" s="133">
        <f t="shared" si="1956"/>
        <v>5806</v>
      </c>
      <c r="CM146" s="133">
        <f t="shared" si="1956"/>
        <v>5806</v>
      </c>
      <c r="CN146" s="133">
        <f t="shared" si="1956"/>
        <v>5806</v>
      </c>
      <c r="CO146" s="133">
        <f t="shared" si="1956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18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52"/>
        <v>0</v>
      </c>
      <c r="DB146" s="4">
        <f t="shared" si="1953"/>
        <v>0</v>
      </c>
      <c r="DC146" s="4">
        <f t="shared" si="1954"/>
        <v>0</v>
      </c>
      <c r="DD146" s="136">
        <f t="shared" si="1955"/>
        <v>0</v>
      </c>
      <c r="DE146" s="31">
        <v>0</v>
      </c>
      <c r="DF146" s="31">
        <v>45</v>
      </c>
      <c r="DG146" s="31">
        <v>5623</v>
      </c>
      <c r="DH146" s="48">
        <f t="shared" si="1919"/>
        <v>6</v>
      </c>
      <c r="DI146" s="62">
        <v>5806</v>
      </c>
      <c r="DJ146" s="62">
        <v>2310521.83</v>
      </c>
      <c r="DK146" s="48">
        <f t="shared" si="1920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21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22"/>
        <v>6</v>
      </c>
      <c r="DV146" s="62">
        <v>0</v>
      </c>
      <c r="DW146" s="62">
        <v>0</v>
      </c>
      <c r="DX146" s="62">
        <f t="shared" si="1923"/>
        <v>0</v>
      </c>
      <c r="DY146" s="62">
        <f t="shared" si="1924"/>
        <v>0</v>
      </c>
      <c r="DZ146" s="48">
        <f t="shared" si="1925"/>
        <v>0</v>
      </c>
      <c r="EA146" s="62">
        <f t="shared" si="1926"/>
        <v>0</v>
      </c>
      <c r="EB146" s="62">
        <f t="shared" si="1927"/>
        <v>0</v>
      </c>
      <c r="EC146" s="48">
        <f t="shared" si="1928"/>
        <v>0</v>
      </c>
      <c r="ED146" s="62">
        <f t="shared" si="1929"/>
        <v>0</v>
      </c>
      <c r="EE146" s="62">
        <f t="shared" si="1930"/>
        <v>0</v>
      </c>
      <c r="EF146" s="48">
        <f t="shared" si="1931"/>
        <v>0</v>
      </c>
      <c r="EG146" s="62">
        <f t="shared" si="1932"/>
        <v>0</v>
      </c>
      <c r="EH146" s="62">
        <f t="shared" si="1933"/>
        <v>0</v>
      </c>
      <c r="EI146" s="48">
        <f t="shared" si="1934"/>
        <v>0</v>
      </c>
      <c r="EJ146" s="62">
        <f t="shared" si="1935"/>
        <v>0</v>
      </c>
      <c r="EK146" s="62">
        <f t="shared" si="1936"/>
        <v>0</v>
      </c>
      <c r="EL146" s="48">
        <f t="shared" si="1937"/>
        <v>0</v>
      </c>
      <c r="EM146" s="62">
        <f t="shared" si="1938"/>
        <v>0</v>
      </c>
      <c r="EN146" s="62">
        <f t="shared" si="1939"/>
        <v>0</v>
      </c>
      <c r="EO146" s="48">
        <f t="shared" si="1940"/>
        <v>0</v>
      </c>
      <c r="EP146" s="62">
        <f t="shared" ref="EP146:EU152" si="1957">BK146*$FH146</f>
        <v>0</v>
      </c>
      <c r="EQ146" s="62">
        <f t="shared" si="1957"/>
        <v>0</v>
      </c>
      <c r="ER146" s="62">
        <f t="shared" si="1957"/>
        <v>0</v>
      </c>
      <c r="ES146" s="62">
        <f t="shared" si="1957"/>
        <v>0</v>
      </c>
      <c r="ET146" s="62">
        <f t="shared" si="1957"/>
        <v>0</v>
      </c>
      <c r="EU146" s="62">
        <f t="shared" si="1957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43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 t="shared" si="1821"/>
        <v>1</v>
      </c>
      <c r="FS146" s="103" t="b">
        <f t="shared" si="1822"/>
        <v>1</v>
      </c>
      <c r="FT146" s="103" t="b">
        <f t="shared" si="1823"/>
        <v>1</v>
      </c>
      <c r="FU146" s="103" t="b">
        <f t="shared" si="1824"/>
        <v>0</v>
      </c>
      <c r="FV146" s="103" t="b">
        <f t="shared" si="1825"/>
        <v>1</v>
      </c>
      <c r="FW146" s="104" t="b">
        <f t="shared" si="1881"/>
        <v>0</v>
      </c>
      <c r="FX146" s="120" t="b">
        <f t="shared" si="1944"/>
        <v>1</v>
      </c>
      <c r="FY146" s="104" t="s">
        <v>491</v>
      </c>
      <c r="FZ146" s="104" t="b">
        <f t="shared" si="1945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46"/>
        <v>1</v>
      </c>
      <c r="GI146" s="8" t="b">
        <f t="shared" si="1947"/>
        <v>0</v>
      </c>
      <c r="GJ146" s="31" t="s">
        <v>203</v>
      </c>
    </row>
    <row r="147" spans="1:192" hidden="1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58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59">Q147*FH147</f>
        <v>1122254.25</v>
      </c>
      <c r="S147" s="114">
        <v>33738</v>
      </c>
      <c r="T147" s="114">
        <v>2169353.4</v>
      </c>
      <c r="U147" s="131">
        <f t="shared" ref="U147:U157" si="1960">IFERROR(ROUNDUP(S147/$EX147,0)*$EY147,0)</f>
        <v>268</v>
      </c>
      <c r="V147" s="115">
        <f t="shared" ref="V147:V158" si="1961">SUM(Z147:AD147)</f>
        <v>25454</v>
      </c>
      <c r="W147" s="115">
        <f t="shared" ref="W147:W157" si="1962">V147*FH147</f>
        <v>1508149.5</v>
      </c>
      <c r="X147" s="115">
        <f t="shared" ref="X147:X157" si="1963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64">AA147*FH147</f>
        <v>0</v>
      </c>
      <c r="AF147" s="95">
        <f t="shared" ref="AF147:AF157" si="1965">AB147*FH147</f>
        <v>0</v>
      </c>
      <c r="AG147" s="114">
        <v>0</v>
      </c>
      <c r="AH147" s="95">
        <f t="shared" ref="AH147:AH158" si="1966">V147-AG147</f>
        <v>25454</v>
      </c>
      <c r="AI147" s="114">
        <f t="shared" ref="AI147:AI157" si="1967">IF(AH147&gt;0,AH147*FH147,0)</f>
        <v>1508149.5</v>
      </c>
      <c r="AJ147" s="114">
        <f t="shared" ref="AJ147:AJ158" si="1968">CU147</f>
        <v>59078</v>
      </c>
      <c r="AK147" s="114">
        <f t="shared" si="1948"/>
        <v>133608</v>
      </c>
      <c r="AL147" s="114">
        <f t="shared" ref="AL147:AL158" si="1969">SUM(CP147:CU147)</f>
        <v>234711</v>
      </c>
      <c r="AM147" s="114">
        <f t="shared" ref="AM147:AM158" si="1970">SUM(BK147:BP147)</f>
        <v>300594</v>
      </c>
      <c r="AN147" s="133">
        <f t="shared" ref="AN147:AN157" si="1971">IFERROR(S147/BQ147*30,"нет оборота")</f>
        <v>20.202798459051081</v>
      </c>
      <c r="AO147" s="133" t="str">
        <f t="shared" ref="AO147:AO157" si="1972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73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74">IF(AT147="Да",W147,0)</f>
        <v>0</v>
      </c>
      <c r="AX147" s="138"/>
      <c r="AY147" s="115">
        <f t="shared" ref="AY147:AY157" si="1975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76">BE147*FH147</f>
        <v>0</v>
      </c>
      <c r="BG147" s="32">
        <v>0</v>
      </c>
      <c r="BH147" s="32">
        <f t="shared" ref="BH147:BH157" si="1977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78">IF(COUNTIF(BK147:BP147,"&gt;0")=0,0,SUM(BK147:BP147)/COUNTIF(BK147:BP147,"&gt;0"))</f>
        <v>50099</v>
      </c>
      <c r="BR147" s="95">
        <f t="shared" ref="BR147:BR157" si="1979">IF(OR(Q147=0,SUM(BK147:BP147)=0,V147&gt;Q147),V147-BK147,Q147-BK147)</f>
        <v>-27374</v>
      </c>
      <c r="BS147" s="133">
        <f t="shared" si="1951"/>
        <v>-85685</v>
      </c>
      <c r="BT147" s="133">
        <f t="shared" si="1951"/>
        <v>-134417</v>
      </c>
      <c r="BU147" s="133">
        <f t="shared" si="1951"/>
        <v>-193050</v>
      </c>
      <c r="BV147" s="133">
        <f t="shared" si="1951"/>
        <v>-239114</v>
      </c>
      <c r="BW147" s="133">
        <f t="shared" si="1951"/>
        <v>-275140</v>
      </c>
      <c r="BX147" s="133">
        <f t="shared" ref="BX147:CO148" si="1980">BW147-$BQ147</f>
        <v>-325239</v>
      </c>
      <c r="BY147" s="133">
        <f t="shared" si="1980"/>
        <v>-375338</v>
      </c>
      <c r="BZ147" s="133">
        <f t="shared" si="1980"/>
        <v>-425437</v>
      </c>
      <c r="CA147" s="133">
        <f t="shared" si="1980"/>
        <v>-475536</v>
      </c>
      <c r="CB147" s="133">
        <f t="shared" si="1980"/>
        <v>-525635</v>
      </c>
      <c r="CC147" s="133">
        <f t="shared" si="1980"/>
        <v>-575734</v>
      </c>
      <c r="CD147" s="133">
        <f t="shared" si="1980"/>
        <v>-625833</v>
      </c>
      <c r="CE147" s="133">
        <f t="shared" si="1980"/>
        <v>-675932</v>
      </c>
      <c r="CF147" s="133">
        <f t="shared" si="1980"/>
        <v>-726031</v>
      </c>
      <c r="CG147" s="133">
        <f t="shared" si="1980"/>
        <v>-776130</v>
      </c>
      <c r="CH147" s="133">
        <f t="shared" si="1980"/>
        <v>-826229</v>
      </c>
      <c r="CI147" s="133">
        <f t="shared" si="1980"/>
        <v>-876328</v>
      </c>
      <c r="CJ147" s="133">
        <f t="shared" si="1980"/>
        <v>-926427</v>
      </c>
      <c r="CK147" s="133">
        <f t="shared" si="1980"/>
        <v>-976526</v>
      </c>
      <c r="CL147" s="133">
        <f t="shared" si="1980"/>
        <v>-1026625</v>
      </c>
      <c r="CM147" s="133">
        <f t="shared" si="1980"/>
        <v>-1076724</v>
      </c>
      <c r="CN147" s="133">
        <f t="shared" si="1980"/>
        <v>-1126823</v>
      </c>
      <c r="CO147" s="133">
        <f t="shared" si="1980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81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52"/>
        <v>0</v>
      </c>
      <c r="DB147" s="4">
        <f t="shared" si="1953"/>
        <v>0</v>
      </c>
      <c r="DC147" s="4">
        <f t="shared" si="1954"/>
        <v>0</v>
      </c>
      <c r="DD147" s="136">
        <f t="shared" si="1955"/>
        <v>0</v>
      </c>
      <c r="DE147" s="31">
        <v>0</v>
      </c>
      <c r="DG147" s="31">
        <v>0</v>
      </c>
      <c r="DH147" s="48">
        <f t="shared" ref="DH147:DH158" si="1982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83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84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85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86">$DF147*BK147/30</f>
        <v>0</v>
      </c>
      <c r="DY147" s="62">
        <f t="shared" ref="DY147:DY157" si="1987">DX147*$FH147</f>
        <v>0</v>
      </c>
      <c r="DZ147" s="48">
        <f t="shared" ref="DZ147:DZ158" si="1988">IFERROR(ROUNDUP(DX147/$EX147,0)*$EY147,0)</f>
        <v>0</v>
      </c>
      <c r="EA147" s="62">
        <f t="shared" ref="EA147:EA158" si="1989">$DF147*BL147/30</f>
        <v>0</v>
      </c>
      <c r="EB147" s="62">
        <f t="shared" ref="EB147:EB157" si="1990">EA147*$FH147</f>
        <v>0</v>
      </c>
      <c r="EC147" s="48">
        <f t="shared" ref="EC147:EC158" si="1991">IFERROR(ROUNDUP(EA147/$EX147,0)*$EY147,0)</f>
        <v>0</v>
      </c>
      <c r="ED147" s="62">
        <f t="shared" ref="ED147:ED158" si="1992">$DF147*BM147/30</f>
        <v>0</v>
      </c>
      <c r="EE147" s="62">
        <f t="shared" ref="EE147:EE157" si="1993">ED147*$FH147</f>
        <v>0</v>
      </c>
      <c r="EF147" s="48">
        <f t="shared" ref="EF147:EF158" si="1994">IFERROR(ROUNDUP(ED147/$EX147,0)*$EY147,0)</f>
        <v>0</v>
      </c>
      <c r="EG147" s="62">
        <f t="shared" ref="EG147:EG158" si="1995">$DF147*BN147/30</f>
        <v>0</v>
      </c>
      <c r="EH147" s="62">
        <f t="shared" ref="EH147:EH157" si="1996">EG147*$FH147</f>
        <v>0</v>
      </c>
      <c r="EI147" s="48">
        <f t="shared" ref="EI147:EI158" si="1997">IFERROR(ROUNDUP(EG147/$EX147,0)*$EY147,0)</f>
        <v>0</v>
      </c>
      <c r="EJ147" s="62">
        <f t="shared" ref="EJ147:EJ158" si="1998">$DF147*BO147/30</f>
        <v>0</v>
      </c>
      <c r="EK147" s="62">
        <f t="shared" ref="EK147:EK157" si="1999">EJ147*$FH147</f>
        <v>0</v>
      </c>
      <c r="EL147" s="48">
        <f t="shared" ref="EL147:EL158" si="2000">IFERROR(ROUNDUP(EJ147/$EX147,0)*$EY147,0)</f>
        <v>0</v>
      </c>
      <c r="EM147" s="62">
        <f t="shared" ref="EM147:EM158" si="2001">$DF147*BP147/30</f>
        <v>0</v>
      </c>
      <c r="EN147" s="62">
        <f t="shared" ref="EN147:EN157" si="2002">EM147*$FH147</f>
        <v>0</v>
      </c>
      <c r="EO147" s="48">
        <f t="shared" ref="EO147:EO158" si="2003">IFERROR(ROUNDUP(EM147/$EX147,0)*$EY147,0)</f>
        <v>0</v>
      </c>
      <c r="EP147" s="62">
        <f t="shared" si="1957"/>
        <v>3130059</v>
      </c>
      <c r="EQ147" s="62">
        <f t="shared" si="1957"/>
        <v>3454926.75</v>
      </c>
      <c r="ER147" s="62">
        <f t="shared" si="1957"/>
        <v>2887371</v>
      </c>
      <c r="ES147" s="62">
        <f t="shared" si="1957"/>
        <v>3474005.25</v>
      </c>
      <c r="ET147" s="62">
        <f t="shared" si="1957"/>
        <v>2729292</v>
      </c>
      <c r="EU147" s="62">
        <f t="shared" si="1957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2004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 t="shared" si="1821"/>
        <v>1</v>
      </c>
      <c r="FS147" s="120" t="b">
        <f t="shared" si="1822"/>
        <v>1</v>
      </c>
      <c r="FT147" s="120" t="b">
        <f t="shared" si="1823"/>
        <v>1</v>
      </c>
      <c r="FU147" s="120" t="b">
        <f t="shared" si="1824"/>
        <v>1</v>
      </c>
      <c r="FV147" s="120" t="b">
        <f t="shared" si="1825"/>
        <v>1</v>
      </c>
      <c r="FW147" s="104" t="b">
        <f t="shared" si="1881"/>
        <v>0</v>
      </c>
      <c r="FX147" s="120" t="b">
        <f t="shared" ref="FX147:FX158" si="2005">EXACT(FQ147,BI147)</f>
        <v>1</v>
      </c>
      <c r="FY147" s="104" t="s">
        <v>368</v>
      </c>
      <c r="FZ147" s="104" t="b">
        <f t="shared" ref="FZ147:FZ158" si="2006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2007">EXACT(GD147,C147)</f>
        <v>1</v>
      </c>
      <c r="GI147" s="8" t="b">
        <f t="shared" ref="GI147:GI158" si="2008">EXACT(GG147,G147)</f>
        <v>0</v>
      </c>
      <c r="GJ147" s="31" t="s">
        <v>203</v>
      </c>
    </row>
    <row r="148" spans="1:192" hidden="1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58"/>
        <v>нет минмакс</v>
      </c>
      <c r="Q148" s="95">
        <v>271685</v>
      </c>
      <c r="R148" s="95">
        <f t="shared" si="1959"/>
        <v>3675898.05</v>
      </c>
      <c r="S148" s="114">
        <v>133365</v>
      </c>
      <c r="T148" s="114">
        <v>1977802.95</v>
      </c>
      <c r="U148" s="131">
        <f t="shared" si="1960"/>
        <v>219</v>
      </c>
      <c r="V148" s="115">
        <f t="shared" si="1961"/>
        <v>9713</v>
      </c>
      <c r="W148" s="115">
        <f t="shared" si="1962"/>
        <v>131416.88999999998</v>
      </c>
      <c r="X148" s="115">
        <f t="shared" si="1963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64"/>
        <v>0</v>
      </c>
      <c r="AF148" s="95">
        <f t="shared" si="1965"/>
        <v>0</v>
      </c>
      <c r="AG148" s="114">
        <v>0</v>
      </c>
      <c r="AH148" s="95">
        <f t="shared" si="1966"/>
        <v>9713</v>
      </c>
      <c r="AI148" s="114">
        <f t="shared" si="1967"/>
        <v>131416.88999999998</v>
      </c>
      <c r="AJ148" s="114">
        <f t="shared" si="1968"/>
        <v>703573</v>
      </c>
      <c r="AK148" s="114">
        <f t="shared" ref="AK148:AK158" si="2009">SUM(CS148:CU148)</f>
        <v>1742327</v>
      </c>
      <c r="AL148" s="114">
        <f t="shared" si="1969"/>
        <v>2695052</v>
      </c>
      <c r="AM148" s="114">
        <f t="shared" si="1970"/>
        <v>3609374</v>
      </c>
      <c r="AN148" s="133">
        <f t="shared" si="1971"/>
        <v>6.6509317128122492</v>
      </c>
      <c r="AO148" s="133" t="str">
        <f t="shared" si="1972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73"/>
        <v>0-01</v>
      </c>
      <c r="AW148" s="126">
        <f t="shared" si="1974"/>
        <v>0</v>
      </c>
      <c r="AX148" s="138"/>
      <c r="AY148" s="115">
        <f t="shared" si="1975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76"/>
        <v>0</v>
      </c>
      <c r="BG148" s="32">
        <v>0</v>
      </c>
      <c r="BH148" s="32">
        <f t="shared" si="1977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78"/>
        <v>601562.33333333337</v>
      </c>
      <c r="BR148" s="95">
        <f t="shared" si="1979"/>
        <v>-326040</v>
      </c>
      <c r="BS148" s="133">
        <f t="shared" si="1951"/>
        <v>-889966</v>
      </c>
      <c r="BT148" s="133">
        <f t="shared" si="1951"/>
        <v>-1492207</v>
      </c>
      <c r="BU148" s="133">
        <f t="shared" si="1951"/>
        <v>-2103125</v>
      </c>
      <c r="BV148" s="133">
        <f t="shared" si="1951"/>
        <v>-2719745</v>
      </c>
      <c r="BW148" s="133">
        <f t="shared" si="1951"/>
        <v>-3337689</v>
      </c>
      <c r="BX148" s="133">
        <f t="shared" si="1980"/>
        <v>-3939251.3333333335</v>
      </c>
      <c r="BY148" s="133">
        <f t="shared" si="1980"/>
        <v>-4540813.666666667</v>
      </c>
      <c r="BZ148" s="133">
        <f t="shared" si="1980"/>
        <v>-5142376</v>
      </c>
      <c r="CA148" s="133">
        <f t="shared" si="1980"/>
        <v>-5743938.333333333</v>
      </c>
      <c r="CB148" s="133">
        <f t="shared" si="1980"/>
        <v>-6345500.666666666</v>
      </c>
      <c r="CC148" s="133">
        <f t="shared" si="1980"/>
        <v>-6947062.9999999991</v>
      </c>
      <c r="CD148" s="133">
        <f t="shared" si="1980"/>
        <v>-7548625.3333333321</v>
      </c>
      <c r="CE148" s="133">
        <f t="shared" si="1980"/>
        <v>-8150187.6666666651</v>
      </c>
      <c r="CF148" s="133">
        <f t="shared" si="1980"/>
        <v>-8751749.9999999981</v>
      </c>
      <c r="CG148" s="133">
        <f t="shared" si="1980"/>
        <v>-9353312.3333333321</v>
      </c>
      <c r="CH148" s="133">
        <f t="shared" si="1980"/>
        <v>-9954874.666666666</v>
      </c>
      <c r="CI148" s="133">
        <f t="shared" si="1980"/>
        <v>-10556437</v>
      </c>
      <c r="CJ148" s="133">
        <f t="shared" si="1980"/>
        <v>-11157999.333333334</v>
      </c>
      <c r="CK148" s="133">
        <f t="shared" si="1980"/>
        <v>-11759561.666666668</v>
      </c>
      <c r="CL148" s="133">
        <f t="shared" si="1980"/>
        <v>-12361124.000000002</v>
      </c>
      <c r="CM148" s="133">
        <f t="shared" si="1980"/>
        <v>-12962686.333333336</v>
      </c>
      <c r="CN148" s="133">
        <f t="shared" si="1980"/>
        <v>-13564248.66666667</v>
      </c>
      <c r="CO148" s="133">
        <f t="shared" si="1980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81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52"/>
        <v>0</v>
      </c>
      <c r="DB148" s="4">
        <f t="shared" si="1953"/>
        <v>0</v>
      </c>
      <c r="DC148" s="4">
        <f t="shared" si="1954"/>
        <v>0</v>
      </c>
      <c r="DD148" s="136">
        <f t="shared" si="1955"/>
        <v>0</v>
      </c>
      <c r="DE148" s="31">
        <v>0</v>
      </c>
      <c r="DG148" s="31">
        <v>0</v>
      </c>
      <c r="DH148" s="48">
        <f t="shared" si="1982"/>
        <v>0</v>
      </c>
      <c r="DI148" s="62">
        <v>35900.419000000002</v>
      </c>
      <c r="DJ148" s="62">
        <v>516135.76099999994</v>
      </c>
      <c r="DK148" s="48">
        <f t="shared" si="1983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84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85"/>
        <v>251</v>
      </c>
      <c r="DV148" s="62">
        <v>535975</v>
      </c>
      <c r="DW148" s="62">
        <v>8059809.8913558265</v>
      </c>
      <c r="DX148" s="62">
        <f t="shared" si="1986"/>
        <v>0</v>
      </c>
      <c r="DY148" s="62">
        <f t="shared" si="1987"/>
        <v>0</v>
      </c>
      <c r="DZ148" s="48">
        <f t="shared" si="1988"/>
        <v>0</v>
      </c>
      <c r="EA148" s="62">
        <f t="shared" si="1989"/>
        <v>0</v>
      </c>
      <c r="EB148" s="62">
        <f t="shared" si="1990"/>
        <v>0</v>
      </c>
      <c r="EC148" s="48">
        <f t="shared" si="1991"/>
        <v>0</v>
      </c>
      <c r="ED148" s="62">
        <f t="shared" si="1992"/>
        <v>0</v>
      </c>
      <c r="EE148" s="62">
        <f t="shared" si="1993"/>
        <v>0</v>
      </c>
      <c r="EF148" s="48">
        <f t="shared" si="1994"/>
        <v>0</v>
      </c>
      <c r="EG148" s="62">
        <f t="shared" si="1995"/>
        <v>0</v>
      </c>
      <c r="EH148" s="62">
        <f t="shared" si="1996"/>
        <v>0</v>
      </c>
      <c r="EI148" s="48">
        <f t="shared" si="1997"/>
        <v>0</v>
      </c>
      <c r="EJ148" s="62">
        <f t="shared" si="1998"/>
        <v>0</v>
      </c>
      <c r="EK148" s="62">
        <f t="shared" si="1999"/>
        <v>0</v>
      </c>
      <c r="EL148" s="48">
        <f t="shared" si="2000"/>
        <v>0</v>
      </c>
      <c r="EM148" s="62">
        <f t="shared" si="2001"/>
        <v>0</v>
      </c>
      <c r="EN148" s="62">
        <f t="shared" si="2002"/>
        <v>0</v>
      </c>
      <c r="EO148" s="48">
        <f t="shared" si="2003"/>
        <v>0</v>
      </c>
      <c r="EP148" s="62">
        <f t="shared" si="1957"/>
        <v>8087219.25</v>
      </c>
      <c r="EQ148" s="62">
        <f t="shared" si="1957"/>
        <v>7629918.7799999993</v>
      </c>
      <c r="ER148" s="62">
        <f t="shared" si="1957"/>
        <v>8148320.7299999995</v>
      </c>
      <c r="ES148" s="62">
        <f t="shared" si="1957"/>
        <v>8265720.54</v>
      </c>
      <c r="ET148" s="62">
        <f t="shared" si="1957"/>
        <v>8342868.5999999996</v>
      </c>
      <c r="EU148" s="62">
        <f t="shared" si="1957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2004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 t="shared" si="1821"/>
        <v>1</v>
      </c>
      <c r="FS148" s="120" t="b">
        <f t="shared" si="1822"/>
        <v>1</v>
      </c>
      <c r="FT148" s="120" t="b">
        <f t="shared" si="1823"/>
        <v>1</v>
      </c>
      <c r="FU148" s="120" t="b">
        <f t="shared" si="1824"/>
        <v>1</v>
      </c>
      <c r="FV148" s="120" t="b">
        <f t="shared" si="1825"/>
        <v>1</v>
      </c>
      <c r="FW148" s="104" t="b">
        <f t="shared" si="1881"/>
        <v>0</v>
      </c>
      <c r="FX148" s="120" t="b">
        <f t="shared" si="2005"/>
        <v>1</v>
      </c>
      <c r="FY148" s="104" t="s">
        <v>368</v>
      </c>
      <c r="FZ148" s="104" t="b">
        <f t="shared" si="2006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2007"/>
        <v>1</v>
      </c>
      <c r="GI148" s="8" t="b">
        <f t="shared" si="2008"/>
        <v>0</v>
      </c>
      <c r="GJ148" s="31" t="s">
        <v>203</v>
      </c>
    </row>
    <row r="149" spans="1:192" hidden="1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58"/>
        <v>нет минмакс</v>
      </c>
      <c r="Q149" s="95">
        <v>206361</v>
      </c>
      <c r="R149" s="95">
        <f t="shared" si="1959"/>
        <v>1132921.8900000001</v>
      </c>
      <c r="S149" s="114">
        <v>349324</v>
      </c>
      <c r="T149" s="114">
        <v>1977173.84</v>
      </c>
      <c r="U149" s="131">
        <f t="shared" si="1960"/>
        <v>179</v>
      </c>
      <c r="V149" s="115">
        <f t="shared" si="1961"/>
        <v>291138</v>
      </c>
      <c r="W149" s="115">
        <f t="shared" si="1962"/>
        <v>1598347.62</v>
      </c>
      <c r="X149" s="115">
        <f t="shared" si="1963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64"/>
        <v>0</v>
      </c>
      <c r="AF149" s="95">
        <f t="shared" si="1965"/>
        <v>0</v>
      </c>
      <c r="AG149" s="114">
        <v>0</v>
      </c>
      <c r="AH149" s="95">
        <f t="shared" si="1966"/>
        <v>291138</v>
      </c>
      <c r="AI149" s="114">
        <f t="shared" si="1967"/>
        <v>1598347.62</v>
      </c>
      <c r="AJ149" s="114">
        <f t="shared" si="1968"/>
        <v>137710</v>
      </c>
      <c r="AK149" s="114">
        <f t="shared" si="2009"/>
        <v>509860</v>
      </c>
      <c r="AL149" s="114">
        <f t="shared" si="1969"/>
        <v>1033896</v>
      </c>
      <c r="AM149" s="114">
        <f t="shared" si="1970"/>
        <v>1249978</v>
      </c>
      <c r="AN149" s="133">
        <f t="shared" si="1971"/>
        <v>50.303541342327627</v>
      </c>
      <c r="AO149" s="133" t="str">
        <f t="shared" si="1972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73"/>
        <v>0-02</v>
      </c>
      <c r="AW149" s="126">
        <f t="shared" si="1974"/>
        <v>0</v>
      </c>
      <c r="AX149" s="138"/>
      <c r="AY149" s="115">
        <f t="shared" si="1975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76"/>
        <v>0</v>
      </c>
      <c r="BG149" s="32">
        <v>0</v>
      </c>
      <c r="BH149" s="32">
        <f t="shared" si="1977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78"/>
        <v>208329.66666666666</v>
      </c>
      <c r="BR149" s="95">
        <f t="shared" si="1979"/>
        <v>14182</v>
      </c>
      <c r="BS149" s="133">
        <f t="shared" ref="BS149:BW158" si="2010">BR149-BL149</f>
        <v>-192597</v>
      </c>
      <c r="BT149" s="133">
        <f t="shared" si="2010"/>
        <v>-391656</v>
      </c>
      <c r="BU149" s="133">
        <f t="shared" si="2010"/>
        <v>-590945</v>
      </c>
      <c r="BV149" s="133">
        <f t="shared" si="2010"/>
        <v>-779455</v>
      </c>
      <c r="BW149" s="133">
        <f t="shared" si="2010"/>
        <v>-958840</v>
      </c>
      <c r="BX149" s="133">
        <f t="shared" ref="BX149:CO150" si="2011">BW149-$BQ149</f>
        <v>-1167169.6666666667</v>
      </c>
      <c r="BY149" s="133">
        <f t="shared" si="2011"/>
        <v>-1375499.3333333335</v>
      </c>
      <c r="BZ149" s="133">
        <f t="shared" si="2011"/>
        <v>-1583829.0000000002</v>
      </c>
      <c r="CA149" s="133">
        <f t="shared" si="2011"/>
        <v>-1792158.666666667</v>
      </c>
      <c r="CB149" s="133">
        <f t="shared" si="2011"/>
        <v>-2000488.3333333337</v>
      </c>
      <c r="CC149" s="133">
        <f t="shared" si="2011"/>
        <v>-2208818.0000000005</v>
      </c>
      <c r="CD149" s="133">
        <f t="shared" si="2011"/>
        <v>-2417147.666666667</v>
      </c>
      <c r="CE149" s="133">
        <f t="shared" si="2011"/>
        <v>-2625477.3333333335</v>
      </c>
      <c r="CF149" s="133">
        <f t="shared" si="2011"/>
        <v>-2833807</v>
      </c>
      <c r="CG149" s="133">
        <f t="shared" si="2011"/>
        <v>-3042136.6666666665</v>
      </c>
      <c r="CH149" s="133">
        <f t="shared" si="2011"/>
        <v>-3250466.333333333</v>
      </c>
      <c r="CI149" s="133">
        <f t="shared" si="2011"/>
        <v>-3458795.9999999995</v>
      </c>
      <c r="CJ149" s="133">
        <f t="shared" si="2011"/>
        <v>-3667125.666666666</v>
      </c>
      <c r="CK149" s="133">
        <f t="shared" si="2011"/>
        <v>-3875455.3333333326</v>
      </c>
      <c r="CL149" s="133">
        <f t="shared" si="2011"/>
        <v>-4083784.9999999991</v>
      </c>
      <c r="CM149" s="133">
        <f t="shared" si="2011"/>
        <v>-4292114.666666666</v>
      </c>
      <c r="CN149" s="133">
        <f t="shared" si="2011"/>
        <v>-4500444.333333333</v>
      </c>
      <c r="CO149" s="133">
        <f t="shared" si="2011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81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52"/>
        <v>0</v>
      </c>
      <c r="DB149" s="4">
        <f t="shared" si="1953"/>
        <v>0</v>
      </c>
      <c r="DC149" s="4">
        <f t="shared" si="1954"/>
        <v>0</v>
      </c>
      <c r="DD149" s="136">
        <f t="shared" si="1955"/>
        <v>0</v>
      </c>
      <c r="DE149" s="31">
        <v>0</v>
      </c>
      <c r="DG149" s="31">
        <v>0</v>
      </c>
      <c r="DH149" s="48">
        <f t="shared" si="1982"/>
        <v>0</v>
      </c>
      <c r="DI149" s="62">
        <v>228058.38699999999</v>
      </c>
      <c r="DJ149" s="62">
        <v>1245735.7110000001</v>
      </c>
      <c r="DK149" s="48">
        <f t="shared" si="1983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84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85"/>
        <v>141</v>
      </c>
      <c r="DV149" s="62">
        <v>192201</v>
      </c>
      <c r="DW149" s="62">
        <v>1061272.9632753688</v>
      </c>
      <c r="DX149" s="62">
        <f t="shared" si="1986"/>
        <v>0</v>
      </c>
      <c r="DY149" s="62">
        <f t="shared" si="1987"/>
        <v>0</v>
      </c>
      <c r="DZ149" s="48">
        <f t="shared" si="1988"/>
        <v>0</v>
      </c>
      <c r="EA149" s="62">
        <f t="shared" si="1989"/>
        <v>0</v>
      </c>
      <c r="EB149" s="62">
        <f t="shared" si="1990"/>
        <v>0</v>
      </c>
      <c r="EC149" s="48">
        <f t="shared" si="1991"/>
        <v>0</v>
      </c>
      <c r="ED149" s="62">
        <f t="shared" si="1992"/>
        <v>0</v>
      </c>
      <c r="EE149" s="62">
        <f t="shared" si="1993"/>
        <v>0</v>
      </c>
      <c r="EF149" s="48">
        <f t="shared" si="1994"/>
        <v>0</v>
      </c>
      <c r="EG149" s="62">
        <f t="shared" si="1995"/>
        <v>0</v>
      </c>
      <c r="EH149" s="62">
        <f t="shared" si="1996"/>
        <v>0</v>
      </c>
      <c r="EI149" s="48">
        <f t="shared" si="1997"/>
        <v>0</v>
      </c>
      <c r="EJ149" s="62">
        <f t="shared" si="1998"/>
        <v>0</v>
      </c>
      <c r="EK149" s="62">
        <f t="shared" si="1999"/>
        <v>0</v>
      </c>
      <c r="EL149" s="48">
        <f t="shared" si="2000"/>
        <v>0</v>
      </c>
      <c r="EM149" s="62">
        <f t="shared" si="2001"/>
        <v>0</v>
      </c>
      <c r="EN149" s="62">
        <f t="shared" si="2002"/>
        <v>0</v>
      </c>
      <c r="EO149" s="48">
        <f t="shared" si="2003"/>
        <v>0</v>
      </c>
      <c r="EP149" s="62">
        <f t="shared" si="1957"/>
        <v>1520488.44</v>
      </c>
      <c r="EQ149" s="62">
        <f t="shared" si="1957"/>
        <v>1135216.71</v>
      </c>
      <c r="ER149" s="62">
        <f t="shared" si="1957"/>
        <v>1092833.9100000001</v>
      </c>
      <c r="ES149" s="62">
        <f t="shared" si="1957"/>
        <v>1094096.6100000001</v>
      </c>
      <c r="ET149" s="62">
        <f t="shared" si="1957"/>
        <v>1034919.9</v>
      </c>
      <c r="EU149" s="62">
        <f t="shared" si="1957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2004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 t="shared" si="1821"/>
        <v>1</v>
      </c>
      <c r="FS149" s="120" t="b">
        <f t="shared" si="1822"/>
        <v>1</v>
      </c>
      <c r="FT149" s="120" t="b">
        <f t="shared" si="1823"/>
        <v>1</v>
      </c>
      <c r="FU149" s="120" t="b">
        <f t="shared" si="1824"/>
        <v>1</v>
      </c>
      <c r="FV149" s="120" t="b">
        <f t="shared" si="1825"/>
        <v>1</v>
      </c>
      <c r="FW149" s="104" t="b">
        <f t="shared" si="1881"/>
        <v>0</v>
      </c>
      <c r="FX149" s="120" t="b">
        <f t="shared" si="2005"/>
        <v>1</v>
      </c>
      <c r="FY149" s="104" t="s">
        <v>368</v>
      </c>
      <c r="FZ149" s="104" t="b">
        <f t="shared" si="2006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2007"/>
        <v>1</v>
      </c>
      <c r="GI149" s="8" t="b">
        <f t="shared" si="2008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58"/>
        <v>меньше мин</v>
      </c>
      <c r="Q150" s="95">
        <v>1194.7000007629395</v>
      </c>
      <c r="R150" s="95">
        <f t="shared" si="1959"/>
        <v>612032.86339084618</v>
      </c>
      <c r="S150" s="131">
        <v>3336.0499877929688</v>
      </c>
      <c r="T150" s="131">
        <v>1838330.3457733153</v>
      </c>
      <c r="U150" s="131">
        <f t="shared" si="1960"/>
        <v>4</v>
      </c>
      <c r="V150" s="113">
        <f t="shared" si="1961"/>
        <v>3167.6749877929688</v>
      </c>
      <c r="W150" s="113">
        <f t="shared" si="1962"/>
        <v>1622768.2194964599</v>
      </c>
      <c r="X150" s="113">
        <f t="shared" si="1963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64"/>
        <v>0</v>
      </c>
      <c r="AF150" s="95">
        <f t="shared" si="1965"/>
        <v>0</v>
      </c>
      <c r="AG150" s="114">
        <v>0</v>
      </c>
      <c r="AH150" s="95">
        <f t="shared" si="1966"/>
        <v>3167.6749877929688</v>
      </c>
      <c r="AI150" s="114">
        <f t="shared" si="1967"/>
        <v>1622768.2194964599</v>
      </c>
      <c r="AJ150" s="133">
        <f t="shared" si="1968"/>
        <v>3421</v>
      </c>
      <c r="AK150" s="133">
        <f t="shared" si="2009"/>
        <v>7173</v>
      </c>
      <c r="AL150" s="133">
        <f t="shared" si="1969"/>
        <v>10121</v>
      </c>
      <c r="AM150" s="133">
        <f t="shared" si="1970"/>
        <v>19066.830000000002</v>
      </c>
      <c r="AN150" s="133">
        <f t="shared" si="1971"/>
        <v>31.49390841596292</v>
      </c>
      <c r="AO150" s="133" t="str">
        <f t="shared" si="1972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73"/>
        <v>0-02</v>
      </c>
      <c r="AW150" s="117">
        <f t="shared" si="1974"/>
        <v>0</v>
      </c>
      <c r="AX150" s="14"/>
      <c r="AY150" s="25">
        <f t="shared" si="1975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76"/>
        <v>0</v>
      </c>
      <c r="BG150" s="32">
        <v>0</v>
      </c>
      <c r="BH150" s="32">
        <f t="shared" si="1977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78"/>
        <v>3177.8050000000003</v>
      </c>
      <c r="BR150" s="95">
        <f t="shared" si="1979"/>
        <v>961.75498779296868</v>
      </c>
      <c r="BS150" s="133">
        <f t="shared" si="2010"/>
        <v>-2201.1850122070314</v>
      </c>
      <c r="BT150" s="133">
        <f t="shared" si="2010"/>
        <v>-5648.9750122070309</v>
      </c>
      <c r="BU150" s="133">
        <f t="shared" si="2010"/>
        <v>-8976.9550122070304</v>
      </c>
      <c r="BV150" s="133">
        <f t="shared" si="2010"/>
        <v>-12722.27501220703</v>
      </c>
      <c r="BW150" s="133">
        <f t="shared" si="2010"/>
        <v>-15899.155012207029</v>
      </c>
      <c r="BX150" s="133">
        <f t="shared" si="2011"/>
        <v>-19076.96001220703</v>
      </c>
      <c r="BY150" s="133">
        <f t="shared" si="2011"/>
        <v>-22254.76501220703</v>
      </c>
      <c r="BZ150" s="133">
        <f t="shared" si="2011"/>
        <v>-25432.57001220703</v>
      </c>
      <c r="CA150" s="133">
        <f t="shared" si="2011"/>
        <v>-28610.375012207031</v>
      </c>
      <c r="CB150" s="133">
        <f t="shared" si="2011"/>
        <v>-31788.180012207031</v>
      </c>
      <c r="CC150" s="133">
        <f t="shared" si="2011"/>
        <v>-34965.985012207035</v>
      </c>
      <c r="CD150" s="133">
        <f t="shared" si="2011"/>
        <v>-38143.790012207035</v>
      </c>
      <c r="CE150" s="133">
        <f t="shared" si="2011"/>
        <v>-41321.595012207035</v>
      </c>
      <c r="CF150" s="133">
        <f t="shared" si="2011"/>
        <v>-44499.400012207036</v>
      </c>
      <c r="CG150" s="133">
        <f t="shared" si="2011"/>
        <v>-47677.205012207036</v>
      </c>
      <c r="CH150" s="133">
        <f t="shared" si="2011"/>
        <v>-50855.010012207036</v>
      </c>
      <c r="CI150" s="133">
        <f t="shared" si="2011"/>
        <v>-54032.815012207036</v>
      </c>
      <c r="CJ150" s="133">
        <f t="shared" si="2011"/>
        <v>-57210.620012207037</v>
      </c>
      <c r="CK150" s="133">
        <f t="shared" si="2011"/>
        <v>-60388.425012207037</v>
      </c>
      <c r="CL150" s="133">
        <f t="shared" si="2011"/>
        <v>-63566.230012207037</v>
      </c>
      <c r="CM150" s="133">
        <f t="shared" si="2011"/>
        <v>-66744.035012207038</v>
      </c>
      <c r="CN150" s="133">
        <f t="shared" si="2011"/>
        <v>-69921.840012207045</v>
      </c>
      <c r="CO150" s="133">
        <f t="shared" si="2011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81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52"/>
        <v>0</v>
      </c>
      <c r="DB150" s="4">
        <f t="shared" si="1953"/>
        <v>0</v>
      </c>
      <c r="DC150" s="4">
        <f t="shared" si="1954"/>
        <v>0</v>
      </c>
      <c r="DD150" s="136">
        <f t="shared" si="1955"/>
        <v>0</v>
      </c>
      <c r="DE150" s="31">
        <v>0</v>
      </c>
      <c r="DF150" s="31">
        <v>45</v>
      </c>
      <c r="DG150" s="31">
        <v>1000</v>
      </c>
      <c r="DH150" s="48">
        <f t="shared" si="1982"/>
        <v>1</v>
      </c>
      <c r="DI150" s="62">
        <v>1907.2760000000001</v>
      </c>
      <c r="DJ150" s="62">
        <v>1092933.26</v>
      </c>
      <c r="DK150" s="48">
        <f t="shared" si="1983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84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85"/>
        <v>5</v>
      </c>
      <c r="DV150" s="62">
        <v>1530.51</v>
      </c>
      <c r="DW150" s="62">
        <v>869650.98706966161</v>
      </c>
      <c r="DX150" s="62">
        <f t="shared" si="1986"/>
        <v>3308.88</v>
      </c>
      <c r="DY150" s="62">
        <f t="shared" si="1987"/>
        <v>1695106.1351999999</v>
      </c>
      <c r="DZ150" s="48">
        <f t="shared" si="1988"/>
        <v>4</v>
      </c>
      <c r="EA150" s="62">
        <f t="shared" si="1989"/>
        <v>4744.41</v>
      </c>
      <c r="EB150" s="62">
        <f t="shared" si="1990"/>
        <v>2430513.7988999998</v>
      </c>
      <c r="EC150" s="48">
        <f t="shared" si="1991"/>
        <v>5</v>
      </c>
      <c r="ED150" s="62">
        <f t="shared" si="1992"/>
        <v>5171.6849999999995</v>
      </c>
      <c r="EE150" s="62">
        <f t="shared" si="1993"/>
        <v>2649402.5086499997</v>
      </c>
      <c r="EF150" s="48">
        <f t="shared" si="1994"/>
        <v>6</v>
      </c>
      <c r="EG150" s="62">
        <f t="shared" si="1995"/>
        <v>4991.97</v>
      </c>
      <c r="EH150" s="62">
        <f t="shared" si="1996"/>
        <v>2557336.3113000002</v>
      </c>
      <c r="EI150" s="48">
        <f t="shared" si="1997"/>
        <v>5</v>
      </c>
      <c r="EJ150" s="62">
        <f t="shared" si="1998"/>
        <v>5617.98</v>
      </c>
      <c r="EK150" s="62">
        <f t="shared" si="1999"/>
        <v>2878034.9741999996</v>
      </c>
      <c r="EL150" s="48">
        <f t="shared" si="2000"/>
        <v>6</v>
      </c>
      <c r="EM150" s="62">
        <f t="shared" si="2001"/>
        <v>4765.3200000000006</v>
      </c>
      <c r="EN150" s="62">
        <f t="shared" si="2002"/>
        <v>2441225.7828000002</v>
      </c>
      <c r="EO150" s="48">
        <f t="shared" si="2003"/>
        <v>5</v>
      </c>
      <c r="EP150" s="62">
        <f t="shared" si="1957"/>
        <v>1130070.7567999999</v>
      </c>
      <c r="EQ150" s="62">
        <f t="shared" si="1957"/>
        <v>1620342.5325999998</v>
      </c>
      <c r="ER150" s="62">
        <f t="shared" si="1957"/>
        <v>1766268.3390999998</v>
      </c>
      <c r="ES150" s="62">
        <f t="shared" si="1957"/>
        <v>1704890.8742</v>
      </c>
      <c r="ET150" s="62">
        <f t="shared" si="1957"/>
        <v>1918689.9827999999</v>
      </c>
      <c r="EU150" s="62">
        <f t="shared" si="1957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2004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 t="shared" si="1821"/>
        <v>0</v>
      </c>
      <c r="FS150" s="103" t="b">
        <f t="shared" si="1822"/>
        <v>0</v>
      </c>
      <c r="FT150" s="103" t="b">
        <f t="shared" si="1823"/>
        <v>0</v>
      </c>
      <c r="FU150" s="103" t="b">
        <f t="shared" si="1824"/>
        <v>0</v>
      </c>
      <c r="FV150" s="103" t="b">
        <f t="shared" si="1825"/>
        <v>1</v>
      </c>
      <c r="FW150" s="104" t="b">
        <f t="shared" si="1881"/>
        <v>0</v>
      </c>
      <c r="FX150" s="120" t="b">
        <f t="shared" si="2005"/>
        <v>1</v>
      </c>
      <c r="FY150" s="104" t="s">
        <v>491</v>
      </c>
      <c r="FZ150" s="104" t="b">
        <f t="shared" si="2006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2007"/>
        <v>1</v>
      </c>
      <c r="GI150" s="8" t="b">
        <f t="shared" si="2008"/>
        <v>0</v>
      </c>
      <c r="GJ150" s="31" t="s">
        <v>203</v>
      </c>
    </row>
    <row r="151" spans="1:192" ht="45" hidden="1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58"/>
        <v>нет минмакс</v>
      </c>
      <c r="Q151" s="95">
        <v>723</v>
      </c>
      <c r="R151" s="95">
        <f t="shared" si="1959"/>
        <v>1757410.5599999998</v>
      </c>
      <c r="S151" s="131">
        <v>723</v>
      </c>
      <c r="T151" s="131">
        <v>1757410.5599999998</v>
      </c>
      <c r="U151" s="131">
        <f t="shared" si="1960"/>
        <v>1.5</v>
      </c>
      <c r="V151" s="113">
        <f t="shared" si="1961"/>
        <v>723</v>
      </c>
      <c r="W151" s="113">
        <f t="shared" si="1962"/>
        <v>1757410.5599999998</v>
      </c>
      <c r="X151" s="113">
        <f t="shared" si="1963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64"/>
        <v>0</v>
      </c>
      <c r="AF151" s="95">
        <f t="shared" si="1965"/>
        <v>0</v>
      </c>
      <c r="AG151" s="114">
        <v>0</v>
      </c>
      <c r="AH151" s="95">
        <f t="shared" si="1966"/>
        <v>723</v>
      </c>
      <c r="AI151" s="114">
        <f t="shared" si="1967"/>
        <v>1757410.5599999998</v>
      </c>
      <c r="AJ151" s="133">
        <f t="shared" si="1968"/>
        <v>0</v>
      </c>
      <c r="AK151" s="133">
        <f t="shared" si="2009"/>
        <v>0</v>
      </c>
      <c r="AL151" s="133">
        <f t="shared" si="1969"/>
        <v>0</v>
      </c>
      <c r="AM151" s="133">
        <f t="shared" si="1970"/>
        <v>0</v>
      </c>
      <c r="AN151" s="133" t="str">
        <f t="shared" si="1971"/>
        <v>нет оборота</v>
      </c>
      <c r="AO151" s="133" t="str">
        <f t="shared" si="1972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73"/>
        <v>Нет планов</v>
      </c>
      <c r="AW151" s="117">
        <f t="shared" si="1974"/>
        <v>1757410.5599999998</v>
      </c>
      <c r="AX151" s="14">
        <f>MONTH(BC151)-6</f>
        <v>2</v>
      </c>
      <c r="AY151" s="25">
        <f t="shared" si="1975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76"/>
        <v>0</v>
      </c>
      <c r="BG151" s="32">
        <v>0</v>
      </c>
      <c r="BH151" s="32">
        <f t="shared" si="1977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78"/>
        <v>0</v>
      </c>
      <c r="BR151" s="95">
        <f t="shared" si="1979"/>
        <v>723</v>
      </c>
      <c r="BS151" s="133">
        <f t="shared" si="2010"/>
        <v>723</v>
      </c>
      <c r="BT151" s="133">
        <f t="shared" si="2010"/>
        <v>723</v>
      </c>
      <c r="BU151" s="133">
        <f t="shared" si="2010"/>
        <v>723</v>
      </c>
      <c r="BV151" s="133">
        <f t="shared" si="2010"/>
        <v>723</v>
      </c>
      <c r="BW151" s="133">
        <f t="shared" si="2010"/>
        <v>723</v>
      </c>
      <c r="BX151" s="133">
        <f t="shared" ref="BX151:CO154" si="2012">BW151-$BQ151</f>
        <v>723</v>
      </c>
      <c r="BY151" s="133">
        <f t="shared" si="2012"/>
        <v>723</v>
      </c>
      <c r="BZ151" s="133">
        <f t="shared" si="2012"/>
        <v>723</v>
      </c>
      <c r="CA151" s="133">
        <f t="shared" si="2012"/>
        <v>723</v>
      </c>
      <c r="CB151" s="133">
        <f t="shared" si="2012"/>
        <v>723</v>
      </c>
      <c r="CC151" s="133">
        <f t="shared" si="2012"/>
        <v>723</v>
      </c>
      <c r="CD151" s="133">
        <f t="shared" si="2012"/>
        <v>723</v>
      </c>
      <c r="CE151" s="133">
        <f t="shared" si="2012"/>
        <v>723</v>
      </c>
      <c r="CF151" s="133">
        <f t="shared" si="2012"/>
        <v>723</v>
      </c>
      <c r="CG151" s="133">
        <f t="shared" si="2012"/>
        <v>723</v>
      </c>
      <c r="CH151" s="133">
        <f t="shared" si="2012"/>
        <v>723</v>
      </c>
      <c r="CI151" s="133">
        <f t="shared" si="2012"/>
        <v>723</v>
      </c>
      <c r="CJ151" s="133">
        <f t="shared" si="2012"/>
        <v>723</v>
      </c>
      <c r="CK151" s="133">
        <f t="shared" si="2012"/>
        <v>723</v>
      </c>
      <c r="CL151" s="133">
        <f t="shared" si="2012"/>
        <v>723</v>
      </c>
      <c r="CM151" s="133">
        <f t="shared" si="2012"/>
        <v>723</v>
      </c>
      <c r="CN151" s="133">
        <f t="shared" si="2012"/>
        <v>723</v>
      </c>
      <c r="CO151" s="133">
        <f t="shared" si="2012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81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2013">IFERROR(CZ151/CY151,0)</f>
        <v>0</v>
      </c>
      <c r="DB151" s="4">
        <f t="shared" ref="DB151:DB166" si="2014">CY151*FH151</f>
        <v>0</v>
      </c>
      <c r="DC151" s="4">
        <f t="shared" ref="DC151:DC166" si="2015">CZ151*FH151</f>
        <v>0</v>
      </c>
      <c r="DD151" s="136">
        <f t="shared" ref="DD151:DD166" si="2016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82"/>
        <v>1.5</v>
      </c>
      <c r="DI151" s="62">
        <v>723</v>
      </c>
      <c r="DJ151" s="62">
        <v>1757411.3</v>
      </c>
      <c r="DK151" s="48">
        <f t="shared" si="1983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84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85"/>
        <v>1.5</v>
      </c>
      <c r="DV151" s="62">
        <v>0</v>
      </c>
      <c r="DW151" s="62">
        <v>0</v>
      </c>
      <c r="DX151" s="62">
        <f t="shared" si="1986"/>
        <v>0</v>
      </c>
      <c r="DY151" s="62">
        <f t="shared" si="1987"/>
        <v>0</v>
      </c>
      <c r="DZ151" s="48">
        <f t="shared" si="1988"/>
        <v>0</v>
      </c>
      <c r="EA151" s="62">
        <f t="shared" si="1989"/>
        <v>0</v>
      </c>
      <c r="EB151" s="62">
        <f t="shared" si="1990"/>
        <v>0</v>
      </c>
      <c r="EC151" s="48">
        <f t="shared" si="1991"/>
        <v>0</v>
      </c>
      <c r="ED151" s="62">
        <f t="shared" si="1992"/>
        <v>0</v>
      </c>
      <c r="EE151" s="62">
        <f t="shared" si="1993"/>
        <v>0</v>
      </c>
      <c r="EF151" s="48">
        <f t="shared" si="1994"/>
        <v>0</v>
      </c>
      <c r="EG151" s="62">
        <f t="shared" si="1995"/>
        <v>0</v>
      </c>
      <c r="EH151" s="62">
        <f t="shared" si="1996"/>
        <v>0</v>
      </c>
      <c r="EI151" s="48">
        <f t="shared" si="1997"/>
        <v>0</v>
      </c>
      <c r="EJ151" s="62">
        <f t="shared" si="1998"/>
        <v>0</v>
      </c>
      <c r="EK151" s="62">
        <f t="shared" si="1999"/>
        <v>0</v>
      </c>
      <c r="EL151" s="48">
        <f t="shared" si="2000"/>
        <v>0</v>
      </c>
      <c r="EM151" s="62">
        <f t="shared" si="2001"/>
        <v>0</v>
      </c>
      <c r="EN151" s="62">
        <f t="shared" si="2002"/>
        <v>0</v>
      </c>
      <c r="EO151" s="48">
        <f t="shared" si="2003"/>
        <v>0</v>
      </c>
      <c r="EP151" s="62">
        <f t="shared" si="1957"/>
        <v>0</v>
      </c>
      <c r="EQ151" s="62">
        <f t="shared" si="1957"/>
        <v>0</v>
      </c>
      <c r="ER151" s="62">
        <f t="shared" si="1957"/>
        <v>0</v>
      </c>
      <c r="ES151" s="62">
        <f t="shared" si="1957"/>
        <v>0</v>
      </c>
      <c r="ET151" s="62">
        <f t="shared" si="1957"/>
        <v>0</v>
      </c>
      <c r="EU151" s="62">
        <f t="shared" si="1957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2004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 t="shared" si="1821"/>
        <v>1</v>
      </c>
      <c r="FS151" s="103" t="b">
        <f t="shared" si="1822"/>
        <v>1</v>
      </c>
      <c r="FT151" s="103" t="b">
        <f t="shared" si="1823"/>
        <v>1</v>
      </c>
      <c r="FU151" s="103" t="b">
        <f t="shared" si="1824"/>
        <v>0</v>
      </c>
      <c r="FV151" s="103" t="b">
        <f t="shared" si="1825"/>
        <v>1</v>
      </c>
      <c r="FW151" s="104" t="b">
        <f t="shared" si="1881"/>
        <v>0</v>
      </c>
      <c r="FX151" s="120" t="b">
        <f t="shared" si="2005"/>
        <v>1</v>
      </c>
      <c r="FY151" s="104" t="s">
        <v>214</v>
      </c>
      <c r="FZ151" s="104" t="b">
        <f t="shared" si="2006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2007"/>
        <v>1</v>
      </c>
      <c r="GI151" s="8" t="b">
        <f t="shared" si="2008"/>
        <v>0</v>
      </c>
    </row>
    <row r="152" spans="1:192" hidden="1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58"/>
        <v>в диапазоне</v>
      </c>
      <c r="Q152" s="95">
        <v>28900</v>
      </c>
      <c r="R152" s="95">
        <f t="shared" si="1959"/>
        <v>182070</v>
      </c>
      <c r="S152" s="131">
        <v>246044</v>
      </c>
      <c r="T152" s="131">
        <v>1646034.36</v>
      </c>
      <c r="U152" s="131">
        <f t="shared" si="1960"/>
        <v>23</v>
      </c>
      <c r="V152" s="113">
        <f t="shared" si="1961"/>
        <v>264000</v>
      </c>
      <c r="W152" s="113">
        <f t="shared" si="1962"/>
        <v>1663200</v>
      </c>
      <c r="X152" s="113">
        <f t="shared" si="1963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64"/>
        <v>0</v>
      </c>
      <c r="AF152" s="95">
        <f t="shared" si="1965"/>
        <v>0</v>
      </c>
      <c r="AG152" s="114">
        <v>0</v>
      </c>
      <c r="AH152" s="95">
        <f t="shared" si="1966"/>
        <v>264000</v>
      </c>
      <c r="AI152" s="114">
        <f t="shared" si="1967"/>
        <v>1663200</v>
      </c>
      <c r="AJ152" s="133">
        <f t="shared" si="1968"/>
        <v>507750</v>
      </c>
      <c r="AK152" s="133">
        <f t="shared" si="2009"/>
        <v>1416859</v>
      </c>
      <c r="AL152" s="133">
        <f t="shared" si="1969"/>
        <v>2996008</v>
      </c>
      <c r="AM152" s="133">
        <f t="shared" si="1970"/>
        <v>2490480</v>
      </c>
      <c r="AN152" s="133">
        <f t="shared" si="1971"/>
        <v>17.782885226944202</v>
      </c>
      <c r="AO152" s="133" t="str">
        <f t="shared" si="1972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73"/>
        <v>0-02</v>
      </c>
      <c r="AW152" s="117">
        <f t="shared" si="1974"/>
        <v>0</v>
      </c>
      <c r="AX152" s="14"/>
      <c r="AY152" s="25">
        <f t="shared" si="1975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76"/>
        <v>0</v>
      </c>
      <c r="BG152" s="32">
        <v>0</v>
      </c>
      <c r="BH152" s="32">
        <f t="shared" si="1977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78"/>
        <v>415080</v>
      </c>
      <c r="BR152" s="95">
        <f t="shared" si="1979"/>
        <v>88433</v>
      </c>
      <c r="BS152" s="133">
        <f t="shared" si="2010"/>
        <v>-321943</v>
      </c>
      <c r="BT152" s="133">
        <f t="shared" si="2010"/>
        <v>-803610</v>
      </c>
      <c r="BU152" s="133">
        <f t="shared" si="2010"/>
        <v>-1267943</v>
      </c>
      <c r="BV152" s="133">
        <f t="shared" si="2010"/>
        <v>-1743217</v>
      </c>
      <c r="BW152" s="133">
        <f t="shared" si="2010"/>
        <v>-2226480</v>
      </c>
      <c r="BX152" s="133">
        <f t="shared" si="2012"/>
        <v>-2641560</v>
      </c>
      <c r="BY152" s="133">
        <f t="shared" si="2012"/>
        <v>-3056640</v>
      </c>
      <c r="BZ152" s="133">
        <f t="shared" si="2012"/>
        <v>-3471720</v>
      </c>
      <c r="CA152" s="133">
        <f t="shared" si="2012"/>
        <v>-3886800</v>
      </c>
      <c r="CB152" s="133">
        <f t="shared" si="2012"/>
        <v>-4301880</v>
      </c>
      <c r="CC152" s="133">
        <f t="shared" si="2012"/>
        <v>-4716960</v>
      </c>
      <c r="CD152" s="133">
        <f t="shared" si="2012"/>
        <v>-5132040</v>
      </c>
      <c r="CE152" s="133">
        <f t="shared" si="2012"/>
        <v>-5547120</v>
      </c>
      <c r="CF152" s="133">
        <f t="shared" si="2012"/>
        <v>-5962200</v>
      </c>
      <c r="CG152" s="133">
        <f t="shared" si="2012"/>
        <v>-6377280</v>
      </c>
      <c r="CH152" s="133">
        <f t="shared" si="2012"/>
        <v>-6792360</v>
      </c>
      <c r="CI152" s="133">
        <f t="shared" si="2012"/>
        <v>-7207440</v>
      </c>
      <c r="CJ152" s="133">
        <f t="shared" si="2012"/>
        <v>-7622520</v>
      </c>
      <c r="CK152" s="133">
        <f t="shared" si="2012"/>
        <v>-8037600</v>
      </c>
      <c r="CL152" s="133">
        <f t="shared" si="2012"/>
        <v>-8452680</v>
      </c>
      <c r="CM152" s="133">
        <f t="shared" si="2012"/>
        <v>-8867760</v>
      </c>
      <c r="CN152" s="133">
        <f t="shared" si="2012"/>
        <v>-9282840</v>
      </c>
      <c r="CO152" s="133">
        <f t="shared" si="2012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81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2013"/>
        <v>0</v>
      </c>
      <c r="DB152" s="4">
        <f t="shared" si="2014"/>
        <v>0</v>
      </c>
      <c r="DC152" s="4">
        <f t="shared" si="2015"/>
        <v>0</v>
      </c>
      <c r="DD152" s="136">
        <f t="shared" si="2016"/>
        <v>0</v>
      </c>
      <c r="DE152" s="31">
        <v>0</v>
      </c>
      <c r="DF152" s="31">
        <v>30</v>
      </c>
      <c r="DG152" s="31">
        <v>0</v>
      </c>
      <c r="DH152" s="48">
        <f t="shared" si="1982"/>
        <v>0</v>
      </c>
      <c r="DI152" s="62">
        <v>91459.934999999998</v>
      </c>
      <c r="DJ152" s="62">
        <v>606138.18200000003</v>
      </c>
      <c r="DK152" s="48">
        <f t="shared" si="1983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84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85"/>
        <v>37</v>
      </c>
      <c r="DV152" s="62">
        <v>440265</v>
      </c>
      <c r="DW152" s="62">
        <v>3002335.7698436812</v>
      </c>
      <c r="DX152" s="62">
        <f t="shared" si="1986"/>
        <v>175567</v>
      </c>
      <c r="DY152" s="62">
        <f t="shared" si="1987"/>
        <v>1106072.0999999999</v>
      </c>
      <c r="DZ152" s="48">
        <f t="shared" si="1988"/>
        <v>16</v>
      </c>
      <c r="EA152" s="62">
        <f t="shared" si="1989"/>
        <v>410376</v>
      </c>
      <c r="EB152" s="62">
        <f t="shared" si="1990"/>
        <v>2585368.7999999998</v>
      </c>
      <c r="EC152" s="48">
        <f t="shared" si="1991"/>
        <v>38</v>
      </c>
      <c r="ED152" s="62">
        <f t="shared" si="1992"/>
        <v>481667</v>
      </c>
      <c r="EE152" s="62">
        <f t="shared" si="1993"/>
        <v>3034502.1</v>
      </c>
      <c r="EF152" s="48">
        <f t="shared" si="1994"/>
        <v>44</v>
      </c>
      <c r="EG152" s="62">
        <f t="shared" si="1995"/>
        <v>464333</v>
      </c>
      <c r="EH152" s="62">
        <f t="shared" si="1996"/>
        <v>2925297.9</v>
      </c>
      <c r="EI152" s="48">
        <f t="shared" si="1997"/>
        <v>43</v>
      </c>
      <c r="EJ152" s="62">
        <f t="shared" si="1998"/>
        <v>475274</v>
      </c>
      <c r="EK152" s="62">
        <f t="shared" si="1999"/>
        <v>2994226.1999999997</v>
      </c>
      <c r="EL152" s="48">
        <f t="shared" si="2000"/>
        <v>44</v>
      </c>
      <c r="EM152" s="62">
        <f t="shared" si="2001"/>
        <v>483263</v>
      </c>
      <c r="EN152" s="62">
        <f t="shared" si="2002"/>
        <v>3044556.9</v>
      </c>
      <c r="EO152" s="48">
        <f t="shared" si="2003"/>
        <v>44</v>
      </c>
      <c r="EP152" s="62">
        <f t="shared" si="1957"/>
        <v>1106072.0999999999</v>
      </c>
      <c r="EQ152" s="62">
        <f t="shared" si="1957"/>
        <v>2585368.7999999998</v>
      </c>
      <c r="ER152" s="62">
        <f t="shared" si="1957"/>
        <v>3034502.1</v>
      </c>
      <c r="ES152" s="62">
        <f t="shared" ref="ES152:EU167" si="2017">BN152*$FH152</f>
        <v>2925297.9</v>
      </c>
      <c r="ET152" s="62">
        <f t="shared" si="2017"/>
        <v>2994226.1999999997</v>
      </c>
      <c r="EU152" s="62">
        <f t="shared" si="2017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2004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 t="shared" si="1821"/>
        <v>1</v>
      </c>
      <c r="FS152" s="103" t="b">
        <f t="shared" si="1822"/>
        <v>1</v>
      </c>
      <c r="FT152" s="103" t="b">
        <f t="shared" si="1823"/>
        <v>0</v>
      </c>
      <c r="FU152" s="103" t="b">
        <f t="shared" si="1824"/>
        <v>0</v>
      </c>
      <c r="FV152" s="103" t="b">
        <f t="shared" si="1825"/>
        <v>1</v>
      </c>
      <c r="FW152" s="104" t="b">
        <f t="shared" si="1881"/>
        <v>0</v>
      </c>
      <c r="FX152" s="120" t="b">
        <f t="shared" si="2005"/>
        <v>1</v>
      </c>
      <c r="FY152" s="104" t="s">
        <v>368</v>
      </c>
      <c r="FZ152" s="104" t="b">
        <f t="shared" si="2006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2007"/>
        <v>1</v>
      </c>
      <c r="GI152" s="8" t="b">
        <f t="shared" si="2008"/>
        <v>0</v>
      </c>
      <c r="GJ152" s="31" t="s">
        <v>203</v>
      </c>
    </row>
    <row r="153" spans="1:192" hidden="1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58"/>
        <v>нет минмакс</v>
      </c>
      <c r="Q153" s="95">
        <v>23554</v>
      </c>
      <c r="R153" s="95">
        <f t="shared" si="1959"/>
        <v>849828.32</v>
      </c>
      <c r="S153" s="114">
        <v>46354</v>
      </c>
      <c r="T153" s="114">
        <v>1675233.56</v>
      </c>
      <c r="U153" s="131">
        <f t="shared" si="1960"/>
        <v>235</v>
      </c>
      <c r="V153" s="115">
        <f t="shared" si="1961"/>
        <v>12013</v>
      </c>
      <c r="W153" s="115">
        <f t="shared" si="1962"/>
        <v>433429.04</v>
      </c>
      <c r="X153" s="115">
        <f t="shared" si="1963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64"/>
        <v>0</v>
      </c>
      <c r="AF153" s="95">
        <f t="shared" si="1965"/>
        <v>0</v>
      </c>
      <c r="AG153" s="114">
        <v>0</v>
      </c>
      <c r="AH153" s="95">
        <f t="shared" si="1966"/>
        <v>12013</v>
      </c>
      <c r="AI153" s="114">
        <f t="shared" si="1967"/>
        <v>433429.04</v>
      </c>
      <c r="AJ153" s="114">
        <f t="shared" si="1968"/>
        <v>11379</v>
      </c>
      <c r="AK153" s="114">
        <f t="shared" si="2009"/>
        <v>68920</v>
      </c>
      <c r="AL153" s="114">
        <f t="shared" si="1969"/>
        <v>96978</v>
      </c>
      <c r="AM153" s="114">
        <f t="shared" si="1970"/>
        <v>124133</v>
      </c>
      <c r="AN153" s="133">
        <f t="shared" si="1971"/>
        <v>67.215969967695941</v>
      </c>
      <c r="AO153" s="133" t="str">
        <f t="shared" si="1972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73"/>
        <v>0-02</v>
      </c>
      <c r="AW153" s="126">
        <f t="shared" si="1974"/>
        <v>0</v>
      </c>
      <c r="AX153" s="138"/>
      <c r="AY153" s="115">
        <f t="shared" si="1975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76"/>
        <v>0</v>
      </c>
      <c r="BG153" s="32">
        <v>0</v>
      </c>
      <c r="BH153" s="32">
        <f t="shared" si="1977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78"/>
        <v>20688.833333333332</v>
      </c>
      <c r="BR153" s="95">
        <f t="shared" si="1979"/>
        <v>8915</v>
      </c>
      <c r="BS153" s="133">
        <f t="shared" si="2010"/>
        <v>-4085</v>
      </c>
      <c r="BT153" s="133">
        <f t="shared" si="2010"/>
        <v>-29799</v>
      </c>
      <c r="BU153" s="133">
        <f t="shared" si="2010"/>
        <v>-54440</v>
      </c>
      <c r="BV153" s="133">
        <f t="shared" si="2010"/>
        <v>-84380</v>
      </c>
      <c r="BW153" s="133">
        <f t="shared" si="2010"/>
        <v>-100579</v>
      </c>
      <c r="BX153" s="133">
        <f t="shared" si="2012"/>
        <v>-121267.83333333333</v>
      </c>
      <c r="BY153" s="133">
        <f t="shared" si="2012"/>
        <v>-141956.66666666666</v>
      </c>
      <c r="BZ153" s="133">
        <f t="shared" si="2012"/>
        <v>-162645.5</v>
      </c>
      <c r="CA153" s="133">
        <f t="shared" si="2012"/>
        <v>-183334.33333333334</v>
      </c>
      <c r="CB153" s="133">
        <f t="shared" si="2012"/>
        <v>-204023.16666666669</v>
      </c>
      <c r="CC153" s="133">
        <f t="shared" si="2012"/>
        <v>-224712.00000000003</v>
      </c>
      <c r="CD153" s="133">
        <f t="shared" si="2012"/>
        <v>-245400.83333333337</v>
      </c>
      <c r="CE153" s="133">
        <f t="shared" si="2012"/>
        <v>-266089.66666666669</v>
      </c>
      <c r="CF153" s="133">
        <f t="shared" si="2012"/>
        <v>-286778.5</v>
      </c>
      <c r="CG153" s="133">
        <f t="shared" si="2012"/>
        <v>-307467.33333333331</v>
      </c>
      <c r="CH153" s="133">
        <f t="shared" si="2012"/>
        <v>-328156.16666666663</v>
      </c>
      <c r="CI153" s="133">
        <f t="shared" si="2012"/>
        <v>-348844.99999999994</v>
      </c>
      <c r="CJ153" s="133">
        <f t="shared" si="2012"/>
        <v>-369533.83333333326</v>
      </c>
      <c r="CK153" s="133">
        <f t="shared" si="2012"/>
        <v>-390222.66666666657</v>
      </c>
      <c r="CL153" s="133">
        <f t="shared" si="2012"/>
        <v>-410911.49999999988</v>
      </c>
      <c r="CM153" s="133">
        <f t="shared" si="2012"/>
        <v>-431600.3333333332</v>
      </c>
      <c r="CN153" s="133">
        <f t="shared" si="2012"/>
        <v>-452289.16666666651</v>
      </c>
      <c r="CO153" s="133">
        <f t="shared" si="2012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81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2013"/>
        <v>0</v>
      </c>
      <c r="DB153" s="4">
        <f t="shared" si="2014"/>
        <v>0</v>
      </c>
      <c r="DC153" s="4">
        <f t="shared" si="2015"/>
        <v>0</v>
      </c>
      <c r="DD153" s="136">
        <f t="shared" si="2016"/>
        <v>0</v>
      </c>
      <c r="DE153" s="31">
        <v>0</v>
      </c>
      <c r="DG153" s="31">
        <v>0</v>
      </c>
      <c r="DH153" s="48">
        <f t="shared" si="1982"/>
        <v>0</v>
      </c>
      <c r="DI153" s="62">
        <v>10991.773999999999</v>
      </c>
      <c r="DJ153" s="62">
        <v>378634.4</v>
      </c>
      <c r="DK153" s="48">
        <f t="shared" si="1983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84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85"/>
        <v>149</v>
      </c>
      <c r="DV153" s="62">
        <v>46120</v>
      </c>
      <c r="DW153" s="62">
        <v>1654460.376228564</v>
      </c>
      <c r="DX153" s="62">
        <f t="shared" si="1986"/>
        <v>0</v>
      </c>
      <c r="DY153" s="62">
        <f t="shared" si="1987"/>
        <v>0</v>
      </c>
      <c r="DZ153" s="48">
        <f t="shared" si="1988"/>
        <v>0</v>
      </c>
      <c r="EA153" s="62">
        <f t="shared" si="1989"/>
        <v>0</v>
      </c>
      <c r="EB153" s="62">
        <f t="shared" si="1990"/>
        <v>0</v>
      </c>
      <c r="EC153" s="48">
        <f t="shared" si="1991"/>
        <v>0</v>
      </c>
      <c r="ED153" s="62">
        <f t="shared" si="1992"/>
        <v>0</v>
      </c>
      <c r="EE153" s="62">
        <f t="shared" si="1993"/>
        <v>0</v>
      </c>
      <c r="EF153" s="48">
        <f t="shared" si="1994"/>
        <v>0</v>
      </c>
      <c r="EG153" s="62">
        <f t="shared" si="1995"/>
        <v>0</v>
      </c>
      <c r="EH153" s="62">
        <f t="shared" si="1996"/>
        <v>0</v>
      </c>
      <c r="EI153" s="48">
        <f t="shared" si="1997"/>
        <v>0</v>
      </c>
      <c r="EJ153" s="62">
        <f t="shared" si="1998"/>
        <v>0</v>
      </c>
      <c r="EK153" s="62">
        <f t="shared" si="1999"/>
        <v>0</v>
      </c>
      <c r="EL153" s="48">
        <f t="shared" si="2000"/>
        <v>0</v>
      </c>
      <c r="EM153" s="62">
        <f t="shared" si="2001"/>
        <v>0</v>
      </c>
      <c r="EN153" s="62">
        <f t="shared" si="2002"/>
        <v>0</v>
      </c>
      <c r="EO153" s="48">
        <f t="shared" si="2003"/>
        <v>0</v>
      </c>
      <c r="EP153" s="62">
        <f t="shared" ref="EP153:ER167" si="2018">BK153*$FH153</f>
        <v>528175.12</v>
      </c>
      <c r="EQ153" s="62">
        <f t="shared" si="2018"/>
        <v>469040</v>
      </c>
      <c r="ER153" s="62">
        <f t="shared" si="2018"/>
        <v>927761.12</v>
      </c>
      <c r="ES153" s="62">
        <f t="shared" si="2017"/>
        <v>889047.27999999991</v>
      </c>
      <c r="ET153" s="62">
        <f t="shared" si="2017"/>
        <v>1080235.2</v>
      </c>
      <c r="EU153" s="62">
        <f t="shared" si="2017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2004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 t="shared" si="1821"/>
        <v>1</v>
      </c>
      <c r="FS153" s="120" t="b">
        <f t="shared" si="1822"/>
        <v>1</v>
      </c>
      <c r="FT153" s="120" t="b">
        <f t="shared" si="1823"/>
        <v>1</v>
      </c>
      <c r="FU153" s="120" t="b">
        <f t="shared" si="1824"/>
        <v>1</v>
      </c>
      <c r="FV153" s="120" t="b">
        <f t="shared" si="1825"/>
        <v>1</v>
      </c>
      <c r="FW153" s="104" t="b">
        <f t="shared" si="1881"/>
        <v>0</v>
      </c>
      <c r="FX153" s="120" t="b">
        <f t="shared" si="2005"/>
        <v>1</v>
      </c>
      <c r="FY153" s="104" t="s">
        <v>368</v>
      </c>
      <c r="FZ153" s="104" t="b">
        <f t="shared" si="2006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2007"/>
        <v>1</v>
      </c>
      <c r="GI153" s="8" t="b">
        <f t="shared" si="2008"/>
        <v>0</v>
      </c>
      <c r="GJ153" s="31" t="s">
        <v>203</v>
      </c>
    </row>
    <row r="154" spans="1:192" hidden="1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58"/>
        <v>нет минмакс</v>
      </c>
      <c r="Q154" s="95">
        <v>50526</v>
      </c>
      <c r="R154" s="95">
        <f t="shared" si="1959"/>
        <v>466860.24</v>
      </c>
      <c r="S154" s="114">
        <v>156142</v>
      </c>
      <c r="T154" s="114">
        <v>1541121.5399999998</v>
      </c>
      <c r="U154" s="131">
        <f t="shared" si="1960"/>
        <v>169</v>
      </c>
      <c r="V154" s="115">
        <f t="shared" si="1961"/>
        <v>170761</v>
      </c>
      <c r="W154" s="115">
        <f t="shared" si="1962"/>
        <v>1577831.6400000001</v>
      </c>
      <c r="X154" s="115">
        <f t="shared" si="1963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64"/>
        <v>0</v>
      </c>
      <c r="AF154" s="95">
        <f t="shared" si="1965"/>
        <v>0</v>
      </c>
      <c r="AG154" s="114">
        <v>0</v>
      </c>
      <c r="AH154" s="95">
        <f t="shared" si="1966"/>
        <v>170761</v>
      </c>
      <c r="AI154" s="114">
        <f t="shared" si="1967"/>
        <v>1577831.6400000001</v>
      </c>
      <c r="AJ154" s="114">
        <f t="shared" si="1968"/>
        <v>38640</v>
      </c>
      <c r="AK154" s="114">
        <f t="shared" si="2009"/>
        <v>222596</v>
      </c>
      <c r="AL154" s="114">
        <f t="shared" si="1969"/>
        <v>363739</v>
      </c>
      <c r="AM154" s="114">
        <f t="shared" si="1970"/>
        <v>496087</v>
      </c>
      <c r="AN154" s="133">
        <f t="shared" si="1971"/>
        <v>56.6544981021474</v>
      </c>
      <c r="AO154" s="133" t="str">
        <f t="shared" si="1972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73"/>
        <v>0-02</v>
      </c>
      <c r="AW154" s="126">
        <f t="shared" si="1974"/>
        <v>0</v>
      </c>
      <c r="AX154" s="138"/>
      <c r="AY154" s="115">
        <f t="shared" si="1975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76"/>
        <v>0</v>
      </c>
      <c r="BG154" s="32">
        <v>0</v>
      </c>
      <c r="BH154" s="32">
        <f t="shared" si="1977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78"/>
        <v>82681.166666666672</v>
      </c>
      <c r="BR154" s="95">
        <f t="shared" si="1979"/>
        <v>83073</v>
      </c>
      <c r="BS154" s="133">
        <f t="shared" si="2010"/>
        <v>-8488</v>
      </c>
      <c r="BT154" s="133">
        <f t="shared" si="2010"/>
        <v>-90698</v>
      </c>
      <c r="BU154" s="133">
        <f t="shared" si="2010"/>
        <v>-181059</v>
      </c>
      <c r="BV154" s="133">
        <f t="shared" si="2010"/>
        <v>-260078</v>
      </c>
      <c r="BW154" s="133">
        <f t="shared" si="2010"/>
        <v>-325326</v>
      </c>
      <c r="BX154" s="133">
        <f t="shared" si="2012"/>
        <v>-408007.16666666669</v>
      </c>
      <c r="BY154" s="133">
        <f t="shared" si="2012"/>
        <v>-490688.33333333337</v>
      </c>
      <c r="BZ154" s="133">
        <f t="shared" si="2012"/>
        <v>-573369.5</v>
      </c>
      <c r="CA154" s="133">
        <f t="shared" ref="CA154:CO154" si="2019">BZ154-$BQ154</f>
        <v>-656050.66666666663</v>
      </c>
      <c r="CB154" s="133">
        <f t="shared" si="2019"/>
        <v>-738731.83333333326</v>
      </c>
      <c r="CC154" s="133">
        <f t="shared" si="2019"/>
        <v>-821412.99999999988</v>
      </c>
      <c r="CD154" s="133">
        <f t="shared" si="2019"/>
        <v>-904094.16666666651</v>
      </c>
      <c r="CE154" s="133">
        <f t="shared" si="2019"/>
        <v>-986775.33333333314</v>
      </c>
      <c r="CF154" s="133">
        <f t="shared" si="2019"/>
        <v>-1069456.4999999998</v>
      </c>
      <c r="CG154" s="133">
        <f t="shared" si="2019"/>
        <v>-1152137.6666666665</v>
      </c>
      <c r="CH154" s="133">
        <f t="shared" si="2019"/>
        <v>-1234818.8333333333</v>
      </c>
      <c r="CI154" s="133">
        <f t="shared" si="2019"/>
        <v>-1317500</v>
      </c>
      <c r="CJ154" s="133">
        <f t="shared" si="2019"/>
        <v>-1400181.1666666667</v>
      </c>
      <c r="CK154" s="133">
        <f t="shared" si="2019"/>
        <v>-1482862.3333333335</v>
      </c>
      <c r="CL154" s="133">
        <f t="shared" si="2019"/>
        <v>-1565543.5000000002</v>
      </c>
      <c r="CM154" s="133">
        <f t="shared" si="2019"/>
        <v>-1648224.666666667</v>
      </c>
      <c r="CN154" s="133">
        <f t="shared" si="2019"/>
        <v>-1730905.8333333337</v>
      </c>
      <c r="CO154" s="133">
        <f t="shared" si="2019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81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2013"/>
        <v>0</v>
      </c>
      <c r="DB154" s="4">
        <f t="shared" si="2014"/>
        <v>0</v>
      </c>
      <c r="DC154" s="4">
        <f t="shared" si="2015"/>
        <v>0</v>
      </c>
      <c r="DD154" s="136">
        <f t="shared" si="2016"/>
        <v>0</v>
      </c>
      <c r="DE154" s="31">
        <v>0</v>
      </c>
      <c r="DG154" s="31">
        <v>0</v>
      </c>
      <c r="DH154" s="48">
        <f t="shared" si="1982"/>
        <v>0</v>
      </c>
      <c r="DI154" s="62">
        <v>88552.160999999993</v>
      </c>
      <c r="DJ154" s="62">
        <v>838001.26799999992</v>
      </c>
      <c r="DK154" s="48">
        <f t="shared" si="1983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84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85"/>
        <v>103</v>
      </c>
      <c r="DV154" s="62">
        <v>71607</v>
      </c>
      <c r="DW154" s="62">
        <v>687943.54791980481</v>
      </c>
      <c r="DX154" s="62">
        <f t="shared" si="1986"/>
        <v>0</v>
      </c>
      <c r="DY154" s="62">
        <f t="shared" si="1987"/>
        <v>0</v>
      </c>
      <c r="DZ154" s="48">
        <f t="shared" si="1988"/>
        <v>0</v>
      </c>
      <c r="EA154" s="62">
        <f t="shared" si="1989"/>
        <v>0</v>
      </c>
      <c r="EB154" s="62">
        <f t="shared" si="1990"/>
        <v>0</v>
      </c>
      <c r="EC154" s="48">
        <f t="shared" si="1991"/>
        <v>0</v>
      </c>
      <c r="ED154" s="62">
        <f t="shared" si="1992"/>
        <v>0</v>
      </c>
      <c r="EE154" s="62">
        <f t="shared" si="1993"/>
        <v>0</v>
      </c>
      <c r="EF154" s="48">
        <f t="shared" si="1994"/>
        <v>0</v>
      </c>
      <c r="EG154" s="62">
        <f t="shared" si="1995"/>
        <v>0</v>
      </c>
      <c r="EH154" s="62">
        <f t="shared" si="1996"/>
        <v>0</v>
      </c>
      <c r="EI154" s="48">
        <f t="shared" si="1997"/>
        <v>0</v>
      </c>
      <c r="EJ154" s="62">
        <f t="shared" si="1998"/>
        <v>0</v>
      </c>
      <c r="EK154" s="62">
        <f t="shared" si="1999"/>
        <v>0</v>
      </c>
      <c r="EL154" s="48">
        <f t="shared" si="2000"/>
        <v>0</v>
      </c>
      <c r="EM154" s="62">
        <f t="shared" si="2001"/>
        <v>0</v>
      </c>
      <c r="EN154" s="62">
        <f t="shared" si="2002"/>
        <v>0</v>
      </c>
      <c r="EO154" s="48">
        <f t="shared" si="2003"/>
        <v>0</v>
      </c>
      <c r="EP154" s="62">
        <f t="shared" si="2018"/>
        <v>810237.12</v>
      </c>
      <c r="EQ154" s="62">
        <f t="shared" si="2018"/>
        <v>846023.64</v>
      </c>
      <c r="ER154" s="62">
        <f t="shared" si="2018"/>
        <v>759620.4</v>
      </c>
      <c r="ES154" s="62">
        <f t="shared" si="2017"/>
        <v>834935.64</v>
      </c>
      <c r="ET154" s="62">
        <f t="shared" si="2017"/>
        <v>730135.56</v>
      </c>
      <c r="EU154" s="62">
        <f t="shared" si="2017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2004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 t="shared" si="1821"/>
        <v>1</v>
      </c>
      <c r="FS154" s="120" t="b">
        <f t="shared" si="1822"/>
        <v>1</v>
      </c>
      <c r="FT154" s="120" t="b">
        <f t="shared" si="1823"/>
        <v>1</v>
      </c>
      <c r="FU154" s="120" t="b">
        <f t="shared" si="1824"/>
        <v>1</v>
      </c>
      <c r="FV154" s="120" t="b">
        <f t="shared" si="1825"/>
        <v>1</v>
      </c>
      <c r="FW154" s="104" t="b">
        <f t="shared" si="1881"/>
        <v>0</v>
      </c>
      <c r="FX154" s="120" t="b">
        <f t="shared" si="2005"/>
        <v>1</v>
      </c>
      <c r="FY154" s="104" t="s">
        <v>368</v>
      </c>
      <c r="FZ154" s="104" t="b">
        <f t="shared" si="2006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2007"/>
        <v>1</v>
      </c>
      <c r="GI154" s="8" t="b">
        <f t="shared" si="2008"/>
        <v>0</v>
      </c>
      <c r="GJ154" s="31" t="s">
        <v>203</v>
      </c>
    </row>
    <row r="155" spans="1:192" hidden="1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58"/>
        <v>нет минмакс</v>
      </c>
      <c r="Q155" s="95">
        <v>728548.3984375</v>
      </c>
      <c r="R155" s="95">
        <f t="shared" si="1959"/>
        <v>5274690.4046875006</v>
      </c>
      <c r="S155" s="114">
        <v>191405</v>
      </c>
      <c r="T155" s="114">
        <v>1504443.3</v>
      </c>
      <c r="U155" s="131">
        <f t="shared" si="1960"/>
        <v>111</v>
      </c>
      <c r="V155" s="115">
        <f t="shared" si="1961"/>
        <v>530904</v>
      </c>
      <c r="W155" s="115">
        <f t="shared" si="1962"/>
        <v>3843744.96</v>
      </c>
      <c r="X155" s="115">
        <f t="shared" si="1963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64"/>
        <v>0</v>
      </c>
      <c r="AF155" s="95">
        <f t="shared" si="1965"/>
        <v>0</v>
      </c>
      <c r="AG155" s="114">
        <v>0</v>
      </c>
      <c r="AH155" s="95">
        <f t="shared" si="1966"/>
        <v>530904</v>
      </c>
      <c r="AI155" s="114">
        <f t="shared" si="1967"/>
        <v>3843744.96</v>
      </c>
      <c r="AJ155" s="114">
        <f t="shared" si="1968"/>
        <v>215484</v>
      </c>
      <c r="AK155" s="114">
        <f t="shared" si="2009"/>
        <v>735118</v>
      </c>
      <c r="AL155" s="114">
        <f t="shared" si="1969"/>
        <v>1296511</v>
      </c>
      <c r="AM155" s="114">
        <f t="shared" si="1970"/>
        <v>2239478</v>
      </c>
      <c r="AN155" s="133">
        <f t="shared" si="1971"/>
        <v>15.384344030171318</v>
      </c>
      <c r="AO155" s="133" t="str">
        <f t="shared" si="1972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73"/>
        <v>0-03</v>
      </c>
      <c r="AW155" s="126">
        <f t="shared" si="1974"/>
        <v>0</v>
      </c>
      <c r="AX155" s="138"/>
      <c r="AY155" s="115">
        <f t="shared" si="1975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76"/>
        <v>0</v>
      </c>
      <c r="BG155" s="32">
        <v>0</v>
      </c>
      <c r="BH155" s="32">
        <f t="shared" si="1977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78"/>
        <v>373246.33333333331</v>
      </c>
      <c r="BR155" s="95">
        <f t="shared" si="1979"/>
        <v>350813.3984375</v>
      </c>
      <c r="BS155" s="133">
        <f t="shared" si="2010"/>
        <v>22559.3984375</v>
      </c>
      <c r="BT155" s="133">
        <f t="shared" si="2010"/>
        <v>-358774.6015625</v>
      </c>
      <c r="BU155" s="133">
        <f t="shared" si="2010"/>
        <v>-746234.6015625</v>
      </c>
      <c r="BV155" s="133">
        <f t="shared" si="2010"/>
        <v>-1129654.6015625</v>
      </c>
      <c r="BW155" s="133">
        <f t="shared" si="2010"/>
        <v>-1510929.6015625</v>
      </c>
      <c r="BX155" s="133">
        <f t="shared" ref="BX155:CO158" si="2020">BW155-$BQ155</f>
        <v>-1884175.9348958333</v>
      </c>
      <c r="BY155" s="133">
        <f t="shared" si="2020"/>
        <v>-2257422.2682291665</v>
      </c>
      <c r="BZ155" s="133">
        <f t="shared" si="2020"/>
        <v>-2630668.6015625</v>
      </c>
      <c r="CA155" s="133">
        <f t="shared" si="2020"/>
        <v>-3003914.9348958335</v>
      </c>
      <c r="CB155" s="133">
        <f t="shared" si="2020"/>
        <v>-3377161.268229167</v>
      </c>
      <c r="CC155" s="133">
        <f t="shared" si="2020"/>
        <v>-3750407.6015625005</v>
      </c>
      <c r="CD155" s="133">
        <f t="shared" si="2020"/>
        <v>-4123653.934895834</v>
      </c>
      <c r="CE155" s="133">
        <f t="shared" si="2020"/>
        <v>-4496900.268229167</v>
      </c>
      <c r="CF155" s="133">
        <f t="shared" si="2020"/>
        <v>-4870146.6015625</v>
      </c>
      <c r="CG155" s="133">
        <f t="shared" si="2020"/>
        <v>-5243392.934895833</v>
      </c>
      <c r="CH155" s="133">
        <f t="shared" si="2020"/>
        <v>-5616639.268229166</v>
      </c>
      <c r="CI155" s="133">
        <f t="shared" si="2020"/>
        <v>-5989885.6015624991</v>
      </c>
      <c r="CJ155" s="133">
        <f t="shared" si="2020"/>
        <v>-6363131.9348958321</v>
      </c>
      <c r="CK155" s="133">
        <f t="shared" si="2020"/>
        <v>-6736378.2682291651</v>
      </c>
      <c r="CL155" s="133">
        <f t="shared" si="2020"/>
        <v>-7109624.6015624981</v>
      </c>
      <c r="CM155" s="133">
        <f t="shared" si="2020"/>
        <v>-7482870.9348958312</v>
      </c>
      <c r="CN155" s="133">
        <f t="shared" si="2020"/>
        <v>-7856117.2682291642</v>
      </c>
      <c r="CO155" s="133">
        <f t="shared" si="2020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81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2013"/>
        <v>0</v>
      </c>
      <c r="DB155" s="4">
        <f t="shared" si="2014"/>
        <v>0</v>
      </c>
      <c r="DC155" s="4">
        <f t="shared" si="2015"/>
        <v>0</v>
      </c>
      <c r="DD155" s="136">
        <f t="shared" si="2016"/>
        <v>0</v>
      </c>
      <c r="DE155" s="31">
        <v>0</v>
      </c>
      <c r="DG155" s="31">
        <v>0</v>
      </c>
      <c r="DH155" s="48">
        <f t="shared" si="1982"/>
        <v>0</v>
      </c>
      <c r="DI155" s="62">
        <v>164313.71000000002</v>
      </c>
      <c r="DJ155" s="62">
        <v>1204173.649</v>
      </c>
      <c r="DK155" s="48">
        <f t="shared" si="1983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84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85"/>
        <v>226</v>
      </c>
      <c r="DV155" s="62">
        <v>345693</v>
      </c>
      <c r="DW155" s="62">
        <v>2680140.1097560539</v>
      </c>
      <c r="DX155" s="62">
        <f t="shared" si="1986"/>
        <v>0</v>
      </c>
      <c r="DY155" s="62">
        <f t="shared" si="1987"/>
        <v>0</v>
      </c>
      <c r="DZ155" s="48">
        <f t="shared" si="1988"/>
        <v>0</v>
      </c>
      <c r="EA155" s="62">
        <f t="shared" si="1989"/>
        <v>0</v>
      </c>
      <c r="EB155" s="62">
        <f t="shared" si="1990"/>
        <v>0</v>
      </c>
      <c r="EC155" s="48">
        <f t="shared" si="1991"/>
        <v>0</v>
      </c>
      <c r="ED155" s="62">
        <f t="shared" si="1992"/>
        <v>0</v>
      </c>
      <c r="EE155" s="62">
        <f t="shared" si="1993"/>
        <v>0</v>
      </c>
      <c r="EF155" s="48">
        <f t="shared" si="1994"/>
        <v>0</v>
      </c>
      <c r="EG155" s="62">
        <f t="shared" si="1995"/>
        <v>0</v>
      </c>
      <c r="EH155" s="62">
        <f t="shared" si="1996"/>
        <v>0</v>
      </c>
      <c r="EI155" s="48">
        <f t="shared" si="1997"/>
        <v>0</v>
      </c>
      <c r="EJ155" s="62">
        <f t="shared" si="1998"/>
        <v>0</v>
      </c>
      <c r="EK155" s="62">
        <f t="shared" si="1999"/>
        <v>0</v>
      </c>
      <c r="EL155" s="48">
        <f t="shared" si="2000"/>
        <v>0</v>
      </c>
      <c r="EM155" s="62">
        <f t="shared" si="2001"/>
        <v>0</v>
      </c>
      <c r="EN155" s="62">
        <f t="shared" si="2002"/>
        <v>0</v>
      </c>
      <c r="EO155" s="48">
        <f t="shared" si="2003"/>
        <v>0</v>
      </c>
      <c r="EP155" s="62">
        <f t="shared" si="2018"/>
        <v>2734801.4</v>
      </c>
      <c r="EQ155" s="62">
        <f t="shared" si="2018"/>
        <v>2376558.96</v>
      </c>
      <c r="ER155" s="62">
        <f t="shared" si="2018"/>
        <v>2760858.16</v>
      </c>
      <c r="ES155" s="62">
        <f t="shared" si="2017"/>
        <v>2805210.4</v>
      </c>
      <c r="ET155" s="62">
        <f t="shared" si="2017"/>
        <v>2775960.8000000003</v>
      </c>
      <c r="EU155" s="62">
        <f t="shared" si="2017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2004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 t="shared" si="1821"/>
        <v>1</v>
      </c>
      <c r="FS155" s="120" t="b">
        <f t="shared" si="1822"/>
        <v>1</v>
      </c>
      <c r="FT155" s="120" t="b">
        <f t="shared" si="1823"/>
        <v>1</v>
      </c>
      <c r="FU155" s="120" t="b">
        <f t="shared" si="1824"/>
        <v>1</v>
      </c>
      <c r="FV155" s="120" t="b">
        <f t="shared" si="1825"/>
        <v>1</v>
      </c>
      <c r="FW155" s="104" t="b">
        <f t="shared" si="1881"/>
        <v>0</v>
      </c>
      <c r="FX155" s="120" t="b">
        <f t="shared" si="2005"/>
        <v>1</v>
      </c>
      <c r="FY155" s="104" t="s">
        <v>368</v>
      </c>
      <c r="FZ155" s="104" t="b">
        <f t="shared" si="2006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2007"/>
        <v>1</v>
      </c>
      <c r="GI155" s="8" t="b">
        <f t="shared" si="2008"/>
        <v>0</v>
      </c>
      <c r="GJ155" s="31" t="s">
        <v>203</v>
      </c>
    </row>
    <row r="156" spans="1:192" hidden="1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58"/>
        <v>нет минмакс</v>
      </c>
      <c r="Q156" s="95">
        <v>4810</v>
      </c>
      <c r="R156" s="95">
        <f t="shared" si="1959"/>
        <v>171236</v>
      </c>
      <c r="S156" s="114">
        <v>38487</v>
      </c>
      <c r="T156" s="114">
        <v>1453653.9900000002</v>
      </c>
      <c r="U156" s="131">
        <f t="shared" si="1960"/>
        <v>172</v>
      </c>
      <c r="V156" s="115">
        <f t="shared" si="1961"/>
        <v>8528</v>
      </c>
      <c r="W156" s="115">
        <f t="shared" si="1962"/>
        <v>303596.79999999999</v>
      </c>
      <c r="X156" s="115">
        <f t="shared" si="1963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64"/>
        <v>0</v>
      </c>
      <c r="AF156" s="95">
        <f t="shared" si="1965"/>
        <v>0</v>
      </c>
      <c r="AG156" s="114">
        <v>0</v>
      </c>
      <c r="AH156" s="95">
        <f t="shared" si="1966"/>
        <v>8528</v>
      </c>
      <c r="AI156" s="114">
        <f t="shared" si="1967"/>
        <v>303596.79999999999</v>
      </c>
      <c r="AJ156" s="114">
        <f t="shared" si="1968"/>
        <v>98263</v>
      </c>
      <c r="AK156" s="114">
        <f t="shared" si="2009"/>
        <v>306096</v>
      </c>
      <c r="AL156" s="114">
        <f t="shared" si="1969"/>
        <v>497971</v>
      </c>
      <c r="AM156" s="114">
        <f t="shared" si="1970"/>
        <v>822701</v>
      </c>
      <c r="AN156" s="133">
        <f t="shared" si="1971"/>
        <v>8.4206291228526524</v>
      </c>
      <c r="AO156" s="133" t="str">
        <f t="shared" si="1972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73"/>
        <v>0-01</v>
      </c>
      <c r="AW156" s="126">
        <f t="shared" si="1974"/>
        <v>0</v>
      </c>
      <c r="AX156" s="138"/>
      <c r="AY156" s="115">
        <f t="shared" si="1975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76"/>
        <v>0</v>
      </c>
      <c r="BG156" s="32">
        <v>0</v>
      </c>
      <c r="BH156" s="32">
        <f t="shared" si="1977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78"/>
        <v>137116.83333333334</v>
      </c>
      <c r="BR156" s="95">
        <f t="shared" si="1979"/>
        <v>-103930</v>
      </c>
      <c r="BS156" s="133">
        <f t="shared" si="2010"/>
        <v>-206312</v>
      </c>
      <c r="BT156" s="133">
        <f t="shared" si="2010"/>
        <v>-400062</v>
      </c>
      <c r="BU156" s="133">
        <f t="shared" si="2010"/>
        <v>-626192</v>
      </c>
      <c r="BV156" s="133">
        <f t="shared" si="2010"/>
        <v>-743413</v>
      </c>
      <c r="BW156" s="133">
        <f t="shared" si="2010"/>
        <v>-814173</v>
      </c>
      <c r="BX156" s="133">
        <f t="shared" si="2020"/>
        <v>-951289.83333333337</v>
      </c>
      <c r="BY156" s="133">
        <f t="shared" si="2020"/>
        <v>-1088406.6666666667</v>
      </c>
      <c r="BZ156" s="133">
        <f t="shared" si="2020"/>
        <v>-1225523.5</v>
      </c>
      <c r="CA156" s="133">
        <f t="shared" si="2020"/>
        <v>-1362640.3333333333</v>
      </c>
      <c r="CB156" s="133">
        <f t="shared" si="2020"/>
        <v>-1499757.1666666665</v>
      </c>
      <c r="CC156" s="133">
        <f t="shared" si="2020"/>
        <v>-1636873.9999999998</v>
      </c>
      <c r="CD156" s="133">
        <f t="shared" si="2020"/>
        <v>-1773990.833333333</v>
      </c>
      <c r="CE156" s="133">
        <f t="shared" si="2020"/>
        <v>-1911107.6666666663</v>
      </c>
      <c r="CF156" s="133">
        <f t="shared" si="2020"/>
        <v>-2048224.4999999995</v>
      </c>
      <c r="CG156" s="133">
        <f t="shared" si="2020"/>
        <v>-2185341.333333333</v>
      </c>
      <c r="CH156" s="133">
        <f t="shared" si="2020"/>
        <v>-2322458.1666666665</v>
      </c>
      <c r="CI156" s="133">
        <f t="shared" si="2020"/>
        <v>-2459575</v>
      </c>
      <c r="CJ156" s="133">
        <f t="shared" si="2020"/>
        <v>-2596691.8333333335</v>
      </c>
      <c r="CK156" s="133">
        <f t="shared" si="2020"/>
        <v>-2733808.666666667</v>
      </c>
      <c r="CL156" s="133">
        <f t="shared" si="2020"/>
        <v>-2870925.5000000005</v>
      </c>
      <c r="CM156" s="133">
        <f t="shared" si="2020"/>
        <v>-3008042.333333334</v>
      </c>
      <c r="CN156" s="133">
        <f t="shared" si="2020"/>
        <v>-3145159.1666666674</v>
      </c>
      <c r="CO156" s="133">
        <f t="shared" si="2020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81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2013"/>
        <v>0</v>
      </c>
      <c r="DB156" s="4">
        <f t="shared" si="2014"/>
        <v>0</v>
      </c>
      <c r="DC156" s="4">
        <f t="shared" si="2015"/>
        <v>0</v>
      </c>
      <c r="DD156" s="136">
        <f t="shared" si="2016"/>
        <v>0</v>
      </c>
      <c r="DE156" s="31">
        <v>0</v>
      </c>
      <c r="DG156" s="31">
        <v>0</v>
      </c>
      <c r="DH156" s="48">
        <f t="shared" si="1982"/>
        <v>0</v>
      </c>
      <c r="DI156" s="62">
        <v>39758.902999999998</v>
      </c>
      <c r="DJ156" s="62">
        <v>1481079.625</v>
      </c>
      <c r="DK156" s="48">
        <f t="shared" si="1983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84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85"/>
        <v>124</v>
      </c>
      <c r="DV156" s="62">
        <v>84611</v>
      </c>
      <c r="DW156" s="62">
        <v>3182641.5576871051</v>
      </c>
      <c r="DX156" s="62">
        <f t="shared" si="1986"/>
        <v>0</v>
      </c>
      <c r="DY156" s="62">
        <f t="shared" si="1987"/>
        <v>0</v>
      </c>
      <c r="DZ156" s="48">
        <f t="shared" si="1988"/>
        <v>0</v>
      </c>
      <c r="EA156" s="62">
        <f t="shared" si="1989"/>
        <v>0</v>
      </c>
      <c r="EB156" s="62">
        <f t="shared" si="1990"/>
        <v>0</v>
      </c>
      <c r="EC156" s="48">
        <f t="shared" si="1991"/>
        <v>0</v>
      </c>
      <c r="ED156" s="62">
        <f t="shared" si="1992"/>
        <v>0</v>
      </c>
      <c r="EE156" s="62">
        <f t="shared" si="1993"/>
        <v>0</v>
      </c>
      <c r="EF156" s="48">
        <f t="shared" si="1994"/>
        <v>0</v>
      </c>
      <c r="EG156" s="62">
        <f t="shared" si="1995"/>
        <v>0</v>
      </c>
      <c r="EH156" s="62">
        <f t="shared" si="1996"/>
        <v>0</v>
      </c>
      <c r="EI156" s="48">
        <f t="shared" si="1997"/>
        <v>0</v>
      </c>
      <c r="EJ156" s="62">
        <f t="shared" si="1998"/>
        <v>0</v>
      </c>
      <c r="EK156" s="62">
        <f t="shared" si="1999"/>
        <v>0</v>
      </c>
      <c r="EL156" s="48">
        <f t="shared" si="2000"/>
        <v>0</v>
      </c>
      <c r="EM156" s="62">
        <f t="shared" si="2001"/>
        <v>0</v>
      </c>
      <c r="EN156" s="62">
        <f t="shared" si="2002"/>
        <v>0</v>
      </c>
      <c r="EO156" s="48">
        <f t="shared" si="2003"/>
        <v>0</v>
      </c>
      <c r="EP156" s="62">
        <f t="shared" si="2018"/>
        <v>4003504.8000000003</v>
      </c>
      <c r="EQ156" s="62">
        <f t="shared" si="2018"/>
        <v>3644799.2</v>
      </c>
      <c r="ER156" s="62">
        <f t="shared" si="2018"/>
        <v>6897500</v>
      </c>
      <c r="ES156" s="62">
        <f t="shared" si="2017"/>
        <v>8050228</v>
      </c>
      <c r="ET156" s="62">
        <f t="shared" si="2017"/>
        <v>4173067.6</v>
      </c>
      <c r="EU156" s="62">
        <f t="shared" si="2017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2004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 t="shared" si="1821"/>
        <v>1</v>
      </c>
      <c r="FS156" s="120" t="b">
        <f t="shared" si="1822"/>
        <v>1</v>
      </c>
      <c r="FT156" s="120" t="b">
        <f t="shared" si="1823"/>
        <v>1</v>
      </c>
      <c r="FU156" s="120" t="b">
        <f t="shared" si="1824"/>
        <v>1</v>
      </c>
      <c r="FV156" s="120" t="b">
        <f t="shared" si="1825"/>
        <v>1</v>
      </c>
      <c r="FW156" s="104" t="b">
        <f t="shared" si="1881"/>
        <v>0</v>
      </c>
      <c r="FX156" s="120" t="b">
        <f t="shared" si="2005"/>
        <v>1</v>
      </c>
      <c r="FY156" s="104" t="s">
        <v>368</v>
      </c>
      <c r="FZ156" s="104" t="b">
        <f t="shared" si="2006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2007"/>
        <v>1</v>
      </c>
      <c r="GI156" s="8" t="b">
        <f t="shared" si="2008"/>
        <v>0</v>
      </c>
      <c r="GJ156" s="31" t="s">
        <v>203</v>
      </c>
    </row>
    <row r="157" spans="1:192" hidden="1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58"/>
        <v>нет минмакс</v>
      </c>
      <c r="Q157" s="95">
        <v>224893</v>
      </c>
      <c r="R157" s="95">
        <f t="shared" si="1959"/>
        <v>1612482.81</v>
      </c>
      <c r="S157" s="114">
        <v>190787</v>
      </c>
      <c r="T157" s="114">
        <v>1398468.71</v>
      </c>
      <c r="U157" s="131">
        <f t="shared" si="1960"/>
        <v>85</v>
      </c>
      <c r="V157" s="115">
        <f t="shared" si="1961"/>
        <v>211427</v>
      </c>
      <c r="W157" s="115">
        <f t="shared" si="1962"/>
        <v>1515931.59</v>
      </c>
      <c r="X157" s="115">
        <f t="shared" si="1963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64"/>
        <v>0</v>
      </c>
      <c r="AF157" s="95">
        <f t="shared" si="1965"/>
        <v>118677.84</v>
      </c>
      <c r="AG157" s="114">
        <v>0</v>
      </c>
      <c r="AH157" s="95">
        <f t="shared" si="1966"/>
        <v>211427</v>
      </c>
      <c r="AI157" s="114">
        <f t="shared" si="1967"/>
        <v>1515931.59</v>
      </c>
      <c r="AJ157" s="114">
        <f t="shared" si="1968"/>
        <v>491560</v>
      </c>
      <c r="AK157" s="114">
        <f t="shared" si="2009"/>
        <v>1327767</v>
      </c>
      <c r="AL157" s="114">
        <f t="shared" si="1969"/>
        <v>2740455</v>
      </c>
      <c r="AM157" s="114">
        <f t="shared" si="1970"/>
        <v>2490480</v>
      </c>
      <c r="AN157" s="133">
        <f t="shared" si="1971"/>
        <v>13.789173171436833</v>
      </c>
      <c r="AO157" s="133" t="str">
        <f t="shared" si="1972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73"/>
        <v>0-02</v>
      </c>
      <c r="AW157" s="126">
        <f t="shared" si="1974"/>
        <v>0</v>
      </c>
      <c r="AX157" s="138"/>
      <c r="AY157" s="115">
        <f t="shared" si="1975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76"/>
        <v>0</v>
      </c>
      <c r="BG157" s="32">
        <v>0</v>
      </c>
      <c r="BH157" s="32">
        <f t="shared" si="1977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78"/>
        <v>415080</v>
      </c>
      <c r="BR157" s="95">
        <f t="shared" si="1979"/>
        <v>49326</v>
      </c>
      <c r="BS157" s="133">
        <f t="shared" si="2010"/>
        <v>-361050</v>
      </c>
      <c r="BT157" s="133">
        <f t="shared" si="2010"/>
        <v>-842717</v>
      </c>
      <c r="BU157" s="133">
        <f t="shared" si="2010"/>
        <v>-1307050</v>
      </c>
      <c r="BV157" s="133">
        <f t="shared" si="2010"/>
        <v>-1782324</v>
      </c>
      <c r="BW157" s="133">
        <f t="shared" si="2010"/>
        <v>-2265587</v>
      </c>
      <c r="BX157" s="133">
        <f t="shared" si="2020"/>
        <v>-2680667</v>
      </c>
      <c r="BY157" s="133">
        <f t="shared" si="2020"/>
        <v>-3095747</v>
      </c>
      <c r="BZ157" s="133">
        <f t="shared" si="2020"/>
        <v>-3510827</v>
      </c>
      <c r="CA157" s="133">
        <f t="shared" si="2020"/>
        <v>-3925907</v>
      </c>
      <c r="CB157" s="133">
        <f t="shared" si="2020"/>
        <v>-4340987</v>
      </c>
      <c r="CC157" s="133">
        <f t="shared" si="2020"/>
        <v>-4756067</v>
      </c>
      <c r="CD157" s="133">
        <f t="shared" si="2020"/>
        <v>-5171147</v>
      </c>
      <c r="CE157" s="133">
        <f t="shared" si="2020"/>
        <v>-5586227</v>
      </c>
      <c r="CF157" s="133">
        <f t="shared" si="2020"/>
        <v>-6001307</v>
      </c>
      <c r="CG157" s="133">
        <f t="shared" si="2020"/>
        <v>-6416387</v>
      </c>
      <c r="CH157" s="133">
        <f t="shared" si="2020"/>
        <v>-6831467</v>
      </c>
      <c r="CI157" s="133">
        <f t="shared" si="2020"/>
        <v>-7246547</v>
      </c>
      <c r="CJ157" s="133">
        <f t="shared" si="2020"/>
        <v>-7661627</v>
      </c>
      <c r="CK157" s="133">
        <f t="shared" si="2020"/>
        <v>-8076707</v>
      </c>
      <c r="CL157" s="133">
        <f t="shared" si="2020"/>
        <v>-8491787</v>
      </c>
      <c r="CM157" s="133">
        <f t="shared" si="2020"/>
        <v>-8906867</v>
      </c>
      <c r="CN157" s="133">
        <f t="shared" si="2020"/>
        <v>-9321947</v>
      </c>
      <c r="CO157" s="133">
        <f t="shared" si="2020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81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2013"/>
        <v>0</v>
      </c>
      <c r="DB157" s="4">
        <f t="shared" si="2014"/>
        <v>0</v>
      </c>
      <c r="DC157" s="4">
        <f t="shared" si="2015"/>
        <v>0</v>
      </c>
      <c r="DD157" s="136">
        <f t="shared" si="2016"/>
        <v>0</v>
      </c>
      <c r="DE157" s="31">
        <v>0</v>
      </c>
      <c r="DG157" s="31">
        <v>0</v>
      </c>
      <c r="DH157" s="48">
        <f t="shared" si="1982"/>
        <v>0</v>
      </c>
      <c r="DI157" s="62">
        <v>101263.58100000001</v>
      </c>
      <c r="DJ157" s="62">
        <v>695744.21500000008</v>
      </c>
      <c r="DK157" s="48">
        <f t="shared" si="1983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84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85"/>
        <v>87</v>
      </c>
      <c r="DV157" s="62">
        <v>407873</v>
      </c>
      <c r="DW157" s="62">
        <v>3001562.1268998971</v>
      </c>
      <c r="DX157" s="62">
        <f t="shared" si="1986"/>
        <v>0</v>
      </c>
      <c r="DY157" s="62">
        <f t="shared" si="1987"/>
        <v>0</v>
      </c>
      <c r="DZ157" s="48">
        <f t="shared" si="1988"/>
        <v>0</v>
      </c>
      <c r="EA157" s="62">
        <f t="shared" si="1989"/>
        <v>0</v>
      </c>
      <c r="EB157" s="62">
        <f t="shared" si="1990"/>
        <v>0</v>
      </c>
      <c r="EC157" s="48">
        <f t="shared" si="1991"/>
        <v>0</v>
      </c>
      <c r="ED157" s="62">
        <f t="shared" si="1992"/>
        <v>0</v>
      </c>
      <c r="EE157" s="62">
        <f t="shared" si="1993"/>
        <v>0</v>
      </c>
      <c r="EF157" s="48">
        <f t="shared" si="1994"/>
        <v>0</v>
      </c>
      <c r="EG157" s="62">
        <f t="shared" si="1995"/>
        <v>0</v>
      </c>
      <c r="EH157" s="62">
        <f t="shared" si="1996"/>
        <v>0</v>
      </c>
      <c r="EI157" s="48">
        <f t="shared" si="1997"/>
        <v>0</v>
      </c>
      <c r="EJ157" s="62">
        <f t="shared" si="1998"/>
        <v>0</v>
      </c>
      <c r="EK157" s="62">
        <f t="shared" si="1999"/>
        <v>0</v>
      </c>
      <c r="EL157" s="48">
        <f t="shared" si="2000"/>
        <v>0</v>
      </c>
      <c r="EM157" s="62">
        <f t="shared" si="2001"/>
        <v>0</v>
      </c>
      <c r="EN157" s="62">
        <f t="shared" si="2002"/>
        <v>0</v>
      </c>
      <c r="EO157" s="48">
        <f t="shared" si="2003"/>
        <v>0</v>
      </c>
      <c r="EP157" s="62">
        <f t="shared" si="2018"/>
        <v>1258815.3899999999</v>
      </c>
      <c r="EQ157" s="62">
        <f t="shared" si="2018"/>
        <v>2942395.92</v>
      </c>
      <c r="ER157" s="62">
        <f t="shared" si="2018"/>
        <v>3453552.39</v>
      </c>
      <c r="ES157" s="62">
        <f t="shared" si="2017"/>
        <v>3329267.61</v>
      </c>
      <c r="ET157" s="62">
        <f t="shared" si="2017"/>
        <v>3407714.58</v>
      </c>
      <c r="EU157" s="62">
        <f t="shared" si="2017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2004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 t="shared" si="1821"/>
        <v>1</v>
      </c>
      <c r="FS157" s="120" t="b">
        <f t="shared" si="1822"/>
        <v>1</v>
      </c>
      <c r="FT157" s="120" t="b">
        <f t="shared" si="1823"/>
        <v>1</v>
      </c>
      <c r="FU157" s="120" t="b">
        <f t="shared" si="1824"/>
        <v>1</v>
      </c>
      <c r="FV157" s="120" t="b">
        <f t="shared" si="1825"/>
        <v>1</v>
      </c>
      <c r="FW157" s="104" t="b">
        <f t="shared" si="1881"/>
        <v>0</v>
      </c>
      <c r="FX157" s="120" t="b">
        <f t="shared" si="2005"/>
        <v>1</v>
      </c>
      <c r="FY157" s="104" t="s">
        <v>368</v>
      </c>
      <c r="FZ157" s="104" t="b">
        <f t="shared" si="2006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2007"/>
        <v>1</v>
      </c>
      <c r="GI157" s="8" t="b">
        <f t="shared" si="2008"/>
        <v>0</v>
      </c>
      <c r="GJ157" s="31" t="s">
        <v>203</v>
      </c>
    </row>
    <row r="158" spans="1:192" ht="30" hidden="1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21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59"/>
        <v>2283336.1223632814</v>
      </c>
      <c r="S158" s="131">
        <v>9096.656982421875</v>
      </c>
      <c r="T158" s="131">
        <v>1435634.4049658203</v>
      </c>
      <c r="U158" s="131">
        <f t="shared" ref="U158:U168" si="2022">IFERROR(ROUNDUP(S158/$EX158,0)*$EY158,0)</f>
        <v>15</v>
      </c>
      <c r="V158" s="113">
        <f t="shared" si="1961"/>
        <v>16225</v>
      </c>
      <c r="W158" s="113">
        <f t="shared" ref="W158:W168" si="2023">V158*FH158</f>
        <v>2403733.75</v>
      </c>
      <c r="X158" s="113">
        <f t="shared" ref="X158:X168" si="2024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25">AA158*FH158</f>
        <v>0</v>
      </c>
      <c r="AF158" s="95">
        <f t="shared" ref="AF158:AF168" si="2026">AB158*FH158</f>
        <v>0</v>
      </c>
      <c r="AG158" s="114">
        <v>0</v>
      </c>
      <c r="AH158" s="95">
        <f t="shared" si="1966"/>
        <v>16225</v>
      </c>
      <c r="AI158" s="114">
        <f t="shared" ref="AI158:AI168" si="2027">IF(AH158&gt;0,AH158*FH158,0)</f>
        <v>2403733.75</v>
      </c>
      <c r="AJ158" s="133">
        <f t="shared" si="1968"/>
        <v>20798</v>
      </c>
      <c r="AK158" s="133">
        <f t="shared" si="2009"/>
        <v>60386</v>
      </c>
      <c r="AL158" s="133">
        <f t="shared" si="1969"/>
        <v>122674</v>
      </c>
      <c r="AM158" s="133">
        <f t="shared" si="1970"/>
        <v>160910.39999999999</v>
      </c>
      <c r="AN158" s="133">
        <f t="shared" ref="AN158:AN168" si="2028">IFERROR(S158/BQ158*30,"нет оборота")</f>
        <v>10.175838583683452</v>
      </c>
      <c r="AO158" s="133" t="str">
        <f t="shared" ref="AO158:AO168" si="2029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30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31">IF(AT158="Да",W158,0)</f>
        <v>0</v>
      </c>
      <c r="AX158" s="14"/>
      <c r="AY158" s="25">
        <f t="shared" ref="AY158:AY168" si="2032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33">BE158*FH158</f>
        <v>0</v>
      </c>
      <c r="BG158" s="32">
        <v>0</v>
      </c>
      <c r="BH158" s="32">
        <f t="shared" ref="BH158:BH168" si="2034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35">IF(COUNTIF(BK158:BP158,"&gt;0")=0,0,SUM(BK158:BP158)/COUNTIF(BK158:BP158,"&gt;0"))</f>
        <v>26818.399999999998</v>
      </c>
      <c r="BR158" s="95">
        <f t="shared" ref="BR158:BR168" si="2036">IF(OR(Q158=0,SUM(BK158:BP158)=0,V158&gt;Q158),V158-BK158,Q158-BK158)</f>
        <v>-10593.400000000001</v>
      </c>
      <c r="BS158" s="133">
        <f t="shared" si="2010"/>
        <v>-37411.800000000003</v>
      </c>
      <c r="BT158" s="133">
        <f t="shared" si="2010"/>
        <v>-64230.200000000004</v>
      </c>
      <c r="BU158" s="133">
        <f t="shared" si="2010"/>
        <v>-91048.6</v>
      </c>
      <c r="BV158" s="133">
        <f t="shared" si="2010"/>
        <v>-117867</v>
      </c>
      <c r="BW158" s="133">
        <f t="shared" si="2010"/>
        <v>-144685.4</v>
      </c>
      <c r="BX158" s="133">
        <f t="shared" si="2020"/>
        <v>-171503.8</v>
      </c>
      <c r="BY158" s="133">
        <f t="shared" si="2020"/>
        <v>-198322.19999999998</v>
      </c>
      <c r="BZ158" s="133">
        <f t="shared" si="2020"/>
        <v>-225140.59999999998</v>
      </c>
      <c r="CA158" s="133">
        <f t="shared" si="2020"/>
        <v>-251958.99999999997</v>
      </c>
      <c r="CB158" s="133">
        <f t="shared" si="2020"/>
        <v>-278777.39999999997</v>
      </c>
      <c r="CC158" s="133">
        <f t="shared" si="2020"/>
        <v>-305595.8</v>
      </c>
      <c r="CD158" s="133">
        <f t="shared" si="2020"/>
        <v>-332414.2</v>
      </c>
      <c r="CE158" s="133">
        <f t="shared" si="2020"/>
        <v>-359232.60000000003</v>
      </c>
      <c r="CF158" s="133">
        <f t="shared" si="2020"/>
        <v>-386051.00000000006</v>
      </c>
      <c r="CG158" s="133">
        <f t="shared" si="2020"/>
        <v>-412869.40000000008</v>
      </c>
      <c r="CH158" s="133">
        <f t="shared" si="2020"/>
        <v>-439687.8000000001</v>
      </c>
      <c r="CI158" s="133">
        <f t="shared" si="2020"/>
        <v>-466506.20000000013</v>
      </c>
      <c r="CJ158" s="133">
        <f t="shared" si="2020"/>
        <v>-493324.60000000015</v>
      </c>
      <c r="CK158" s="133">
        <f t="shared" si="2020"/>
        <v>-520143.00000000017</v>
      </c>
      <c r="CL158" s="133">
        <f t="shared" si="2020"/>
        <v>-546961.40000000014</v>
      </c>
      <c r="CM158" s="133">
        <f t="shared" si="2020"/>
        <v>-573779.80000000016</v>
      </c>
      <c r="CN158" s="133">
        <f t="shared" si="2020"/>
        <v>-600598.20000000019</v>
      </c>
      <c r="CO158" s="133">
        <f t="shared" si="2020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37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2013"/>
        <v>0</v>
      </c>
      <c r="DB158" s="4">
        <f t="shared" si="2014"/>
        <v>0</v>
      </c>
      <c r="DC158" s="4">
        <f t="shared" si="2015"/>
        <v>0</v>
      </c>
      <c r="DD158" s="136">
        <f t="shared" si="2016"/>
        <v>0</v>
      </c>
      <c r="DE158" s="31">
        <v>0</v>
      </c>
      <c r="DF158" s="31">
        <v>30</v>
      </c>
      <c r="DG158" s="31">
        <v>20000</v>
      </c>
      <c r="DH158" s="48">
        <f t="shared" si="1982"/>
        <v>30</v>
      </c>
      <c r="DI158" s="62">
        <v>30780.727999999999</v>
      </c>
      <c r="DJ158" s="62">
        <v>4635777.9689999996</v>
      </c>
      <c r="DK158" s="48">
        <f t="shared" ref="DK158:DK168" si="2038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39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40">IFERROR(ROUNDUP(DS158/$EX158,0)*$EY158,0)</f>
        <v>39</v>
      </c>
      <c r="DV158" s="62">
        <v>23570.083999999999</v>
      </c>
      <c r="DW158" s="62">
        <v>3715561.6288482621</v>
      </c>
      <c r="DX158" s="62">
        <f t="shared" si="1986"/>
        <v>26818.400000000001</v>
      </c>
      <c r="DY158" s="62">
        <f t="shared" ref="DY158:DY168" si="2041">DX158*$FH158</f>
        <v>3973145.9600000004</v>
      </c>
      <c r="DZ158" s="48">
        <f t="shared" si="1988"/>
        <v>40.5</v>
      </c>
      <c r="EA158" s="62">
        <f t="shared" si="1989"/>
        <v>26818.400000000001</v>
      </c>
      <c r="EB158" s="62">
        <f t="shared" ref="EB158:EB168" si="2042">EA158*$FH158</f>
        <v>3973145.9600000004</v>
      </c>
      <c r="EC158" s="48">
        <f t="shared" si="1991"/>
        <v>40.5</v>
      </c>
      <c r="ED158" s="62">
        <f t="shared" si="1992"/>
        <v>26818.400000000001</v>
      </c>
      <c r="EE158" s="62">
        <f t="shared" ref="EE158:EE168" si="2043">ED158*$FH158</f>
        <v>3973145.9600000004</v>
      </c>
      <c r="EF158" s="48">
        <f t="shared" si="1994"/>
        <v>40.5</v>
      </c>
      <c r="EG158" s="62">
        <f t="shared" si="1995"/>
        <v>26818.400000000001</v>
      </c>
      <c r="EH158" s="62">
        <f t="shared" ref="EH158:EH168" si="2044">EG158*$FH158</f>
        <v>3973145.9600000004</v>
      </c>
      <c r="EI158" s="48">
        <f t="shared" si="1997"/>
        <v>40.5</v>
      </c>
      <c r="EJ158" s="62">
        <f t="shared" si="1998"/>
        <v>26818.400000000001</v>
      </c>
      <c r="EK158" s="62">
        <f t="shared" ref="EK158:EK168" si="2045">EJ158*$FH158</f>
        <v>3973145.9600000004</v>
      </c>
      <c r="EL158" s="48">
        <f t="shared" si="2000"/>
        <v>40.5</v>
      </c>
      <c r="EM158" s="62">
        <f t="shared" si="2001"/>
        <v>26818.400000000001</v>
      </c>
      <c r="EN158" s="62">
        <f t="shared" ref="EN158:EN168" si="2046">EM158*$FH158</f>
        <v>3973145.9600000004</v>
      </c>
      <c r="EO158" s="48">
        <f t="shared" si="2003"/>
        <v>40.5</v>
      </c>
      <c r="EP158" s="62">
        <f t="shared" si="2018"/>
        <v>3973145.9600000004</v>
      </c>
      <c r="EQ158" s="62">
        <f t="shared" si="2018"/>
        <v>3973145.9600000004</v>
      </c>
      <c r="ER158" s="62">
        <f t="shared" si="2018"/>
        <v>3973145.9600000004</v>
      </c>
      <c r="ES158" s="62">
        <f t="shared" si="2017"/>
        <v>3973145.9600000004</v>
      </c>
      <c r="ET158" s="62">
        <f t="shared" si="2017"/>
        <v>3973145.9600000004</v>
      </c>
      <c r="EU158" s="62">
        <f t="shared" si="2017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47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 t="shared" si="1821"/>
        <v>1</v>
      </c>
      <c r="FS158" s="103" t="b">
        <f t="shared" si="1822"/>
        <v>1</v>
      </c>
      <c r="FT158" s="103" t="b">
        <f t="shared" si="1823"/>
        <v>0</v>
      </c>
      <c r="FU158" s="103" t="b">
        <f t="shared" si="1824"/>
        <v>0</v>
      </c>
      <c r="FV158" s="103" t="b">
        <f t="shared" si="1825"/>
        <v>1</v>
      </c>
      <c r="FW158" s="104" t="b">
        <f t="shared" si="1881"/>
        <v>0</v>
      </c>
      <c r="FX158" s="120" t="b">
        <f t="shared" si="2005"/>
        <v>1</v>
      </c>
      <c r="FY158" s="104" t="s">
        <v>368</v>
      </c>
      <c r="FZ158" s="104" t="b">
        <f t="shared" si="2006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2007"/>
        <v>1</v>
      </c>
      <c r="GI158" s="8" t="b">
        <f t="shared" si="2008"/>
        <v>0</v>
      </c>
      <c r="GJ158" s="31" t="s">
        <v>203</v>
      </c>
    </row>
    <row r="159" spans="1:192" hidden="1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21"/>
        <v>нет минмакс</v>
      </c>
      <c r="Q159" s="95">
        <v>16758</v>
      </c>
      <c r="R159" s="95">
        <f t="shared" ref="R159:R170" si="2048">Q159*FH159</f>
        <v>1024919.2799999999</v>
      </c>
      <c r="S159" s="114">
        <v>23008</v>
      </c>
      <c r="T159" s="114">
        <v>1414071.68</v>
      </c>
      <c r="U159" s="131">
        <f t="shared" si="2022"/>
        <v>183</v>
      </c>
      <c r="V159" s="115">
        <f t="shared" ref="V159:V169" si="2049">SUM(Z159:AD159)</f>
        <v>13154</v>
      </c>
      <c r="W159" s="115">
        <f t="shared" si="2023"/>
        <v>804498.6399999999</v>
      </c>
      <c r="X159" s="115">
        <f t="shared" si="2024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25"/>
        <v>0</v>
      </c>
      <c r="AF159" s="95">
        <f t="shared" si="2026"/>
        <v>0</v>
      </c>
      <c r="AG159" s="114">
        <v>0</v>
      </c>
      <c r="AH159" s="95">
        <f t="shared" ref="AH159:AH169" si="2050">V159-AG159</f>
        <v>13154</v>
      </c>
      <c r="AI159" s="114">
        <f t="shared" si="2027"/>
        <v>804498.6399999999</v>
      </c>
      <c r="AJ159" s="114">
        <f t="shared" ref="AJ159:AJ169" si="2051">CU159</f>
        <v>3519</v>
      </c>
      <c r="AK159" s="114">
        <f t="shared" ref="AK159:AK171" si="2052">SUM(CS159:CU159)</f>
        <v>9902</v>
      </c>
      <c r="AL159" s="114">
        <f t="shared" ref="AL159:AL169" si="2053">SUM(CP159:CU159)</f>
        <v>25356</v>
      </c>
      <c r="AM159" s="114">
        <f t="shared" ref="AM159:AM169" si="2054">SUM(BK159:BP159)</f>
        <v>65197</v>
      </c>
      <c r="AN159" s="133">
        <f t="shared" si="2028"/>
        <v>63.521941193613209</v>
      </c>
      <c r="AO159" s="133" t="str">
        <f t="shared" si="2029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30"/>
        <v>0-03</v>
      </c>
      <c r="AW159" s="126">
        <f t="shared" si="2031"/>
        <v>0</v>
      </c>
      <c r="AX159" s="138"/>
      <c r="AY159" s="115">
        <f t="shared" si="2032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33"/>
        <v>0</v>
      </c>
      <c r="BG159" s="32">
        <v>0</v>
      </c>
      <c r="BH159" s="32">
        <f t="shared" si="2034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35"/>
        <v>10866.166666666666</v>
      </c>
      <c r="BR159" s="95">
        <f t="shared" si="2036"/>
        <v>13491</v>
      </c>
      <c r="BS159" s="133">
        <f t="shared" ref="BS159:BW168" si="2055">BR159-BL159</f>
        <v>8261</v>
      </c>
      <c r="BT159" s="133">
        <f t="shared" si="2055"/>
        <v>-2987</v>
      </c>
      <c r="BU159" s="133">
        <f t="shared" si="2055"/>
        <v>-14252</v>
      </c>
      <c r="BV159" s="133">
        <f t="shared" si="2055"/>
        <v>-35261</v>
      </c>
      <c r="BW159" s="133">
        <f t="shared" si="2055"/>
        <v>-48439</v>
      </c>
      <c r="BX159" s="133">
        <f t="shared" ref="BX159:CO161" si="2056">BW159-$BQ159</f>
        <v>-59305.166666666664</v>
      </c>
      <c r="BY159" s="133">
        <f t="shared" si="2056"/>
        <v>-70171.333333333328</v>
      </c>
      <c r="BZ159" s="133">
        <f t="shared" si="2056"/>
        <v>-81037.5</v>
      </c>
      <c r="CA159" s="133">
        <f t="shared" si="2056"/>
        <v>-91903.666666666672</v>
      </c>
      <c r="CB159" s="133">
        <f t="shared" si="2056"/>
        <v>-102769.83333333334</v>
      </c>
      <c r="CC159" s="133">
        <f t="shared" si="2056"/>
        <v>-113636.00000000001</v>
      </c>
      <c r="CD159" s="133">
        <f t="shared" si="2056"/>
        <v>-124502.16666666669</v>
      </c>
      <c r="CE159" s="133">
        <f t="shared" si="2056"/>
        <v>-135368.33333333334</v>
      </c>
      <c r="CF159" s="133">
        <f t="shared" si="2056"/>
        <v>-146234.5</v>
      </c>
      <c r="CG159" s="133">
        <f t="shared" si="2056"/>
        <v>-157100.66666666666</v>
      </c>
      <c r="CH159" s="133">
        <f t="shared" si="2056"/>
        <v>-167966.83333333331</v>
      </c>
      <c r="CI159" s="133">
        <f t="shared" si="2056"/>
        <v>-178832.99999999997</v>
      </c>
      <c r="CJ159" s="133">
        <f t="shared" si="2056"/>
        <v>-189699.16666666663</v>
      </c>
      <c r="CK159" s="133">
        <f t="shared" si="2056"/>
        <v>-200565.33333333328</v>
      </c>
      <c r="CL159" s="133">
        <f t="shared" si="2056"/>
        <v>-211431.49999999994</v>
      </c>
      <c r="CM159" s="133">
        <f t="shared" si="2056"/>
        <v>-222297.6666666666</v>
      </c>
      <c r="CN159" s="133">
        <f t="shared" si="2056"/>
        <v>-233163.83333333326</v>
      </c>
      <c r="CO159" s="133">
        <f t="shared" si="2056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37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2013"/>
        <v>0</v>
      </c>
      <c r="DB159" s="4">
        <f t="shared" si="2014"/>
        <v>0</v>
      </c>
      <c r="DC159" s="4">
        <f t="shared" si="2015"/>
        <v>0</v>
      </c>
      <c r="DD159" s="136">
        <f t="shared" si="2016"/>
        <v>0</v>
      </c>
      <c r="DE159" s="31">
        <v>0</v>
      </c>
      <c r="DG159" s="31">
        <v>0</v>
      </c>
      <c r="DH159" s="48">
        <f t="shared" ref="DH159:DH169" si="2057">IFERROR(ROUNDUP(DG159/$EX159,0)*$EY159,0)</f>
        <v>0</v>
      </c>
      <c r="DI159" s="62">
        <v>8597.5480000000007</v>
      </c>
      <c r="DJ159" s="62">
        <v>505744.10200000001</v>
      </c>
      <c r="DK159" s="48">
        <f t="shared" si="2038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39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40"/>
        <v>89</v>
      </c>
      <c r="DV159" s="62">
        <v>3561</v>
      </c>
      <c r="DW159" s="62">
        <v>209411.22854261383</v>
      </c>
      <c r="DX159" s="62">
        <f t="shared" ref="DX159:DX169" si="2058">$DF159*BK159/30</f>
        <v>0</v>
      </c>
      <c r="DY159" s="62">
        <f t="shared" si="2041"/>
        <v>0</v>
      </c>
      <c r="DZ159" s="48">
        <f t="shared" ref="DZ159:DZ169" si="2059">IFERROR(ROUNDUP(DX159/$EX159,0)*$EY159,0)</f>
        <v>0</v>
      </c>
      <c r="EA159" s="62">
        <f t="shared" ref="EA159:EA169" si="2060">$DF159*BL159/30</f>
        <v>0</v>
      </c>
      <c r="EB159" s="62">
        <f t="shared" si="2042"/>
        <v>0</v>
      </c>
      <c r="EC159" s="48">
        <f t="shared" ref="EC159:EC169" si="2061">IFERROR(ROUNDUP(EA159/$EX159,0)*$EY159,0)</f>
        <v>0</v>
      </c>
      <c r="ED159" s="62">
        <f t="shared" ref="ED159:ED169" si="2062">$DF159*BM159/30</f>
        <v>0</v>
      </c>
      <c r="EE159" s="62">
        <f t="shared" si="2043"/>
        <v>0</v>
      </c>
      <c r="EF159" s="48">
        <f t="shared" ref="EF159:EF169" si="2063">IFERROR(ROUNDUP(ED159/$EX159,0)*$EY159,0)</f>
        <v>0</v>
      </c>
      <c r="EG159" s="62">
        <f t="shared" ref="EG159:EG169" si="2064">$DF159*BN159/30</f>
        <v>0</v>
      </c>
      <c r="EH159" s="62">
        <f t="shared" si="2044"/>
        <v>0</v>
      </c>
      <c r="EI159" s="48">
        <f t="shared" ref="EI159:EI169" si="2065">IFERROR(ROUNDUP(EG159/$EX159,0)*$EY159,0)</f>
        <v>0</v>
      </c>
      <c r="EJ159" s="62">
        <f t="shared" ref="EJ159:EJ169" si="2066">$DF159*BO159/30</f>
        <v>0</v>
      </c>
      <c r="EK159" s="62">
        <f t="shared" si="2045"/>
        <v>0</v>
      </c>
      <c r="EL159" s="48">
        <f t="shared" ref="EL159:EL169" si="2067">IFERROR(ROUNDUP(EJ159/$EX159,0)*$EY159,0)</f>
        <v>0</v>
      </c>
      <c r="EM159" s="62">
        <f t="shared" ref="EM159:EM169" si="2068">$DF159*BP159/30</f>
        <v>0</v>
      </c>
      <c r="EN159" s="62">
        <f t="shared" si="2046"/>
        <v>0</v>
      </c>
      <c r="EO159" s="48">
        <f t="shared" ref="EO159:EO169" si="2069">IFERROR(ROUNDUP(EM159/$EX159,0)*$EY159,0)</f>
        <v>0</v>
      </c>
      <c r="EP159" s="62">
        <f t="shared" si="2018"/>
        <v>199809.72</v>
      </c>
      <c r="EQ159" s="62">
        <f t="shared" si="2018"/>
        <v>319866.8</v>
      </c>
      <c r="ER159" s="62">
        <f t="shared" si="2018"/>
        <v>687927.67999999993</v>
      </c>
      <c r="ES159" s="62">
        <f t="shared" si="2017"/>
        <v>688967.39999999991</v>
      </c>
      <c r="ET159" s="62">
        <f t="shared" si="2017"/>
        <v>1284910.44</v>
      </c>
      <c r="EU159" s="62">
        <f t="shared" si="2017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47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 t="shared" si="1821"/>
        <v>1</v>
      </c>
      <c r="FS159" s="120" t="b">
        <f t="shared" si="1822"/>
        <v>1</v>
      </c>
      <c r="FT159" s="120" t="b">
        <f t="shared" si="1823"/>
        <v>1</v>
      </c>
      <c r="FU159" s="120" t="b">
        <f t="shared" si="1824"/>
        <v>1</v>
      </c>
      <c r="FV159" s="120" t="b">
        <f t="shared" si="1825"/>
        <v>1</v>
      </c>
      <c r="FW159" s="104" t="b">
        <f t="shared" si="1881"/>
        <v>0</v>
      </c>
      <c r="FX159" s="120" t="b">
        <f t="shared" ref="FX159:FX169" si="2070">EXACT(FQ159,BI159)</f>
        <v>1</v>
      </c>
      <c r="FY159" s="104" t="s">
        <v>368</v>
      </c>
      <c r="FZ159" s="104" t="b">
        <f t="shared" ref="FZ159:FZ169" si="2071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72">EXACT(GD159,C159)</f>
        <v>1</v>
      </c>
      <c r="GI159" s="8" t="b">
        <f t="shared" ref="GI159:GI169" si="2073">EXACT(GG159,G159)</f>
        <v>0</v>
      </c>
      <c r="GJ159" s="31" t="s">
        <v>203</v>
      </c>
    </row>
    <row r="160" spans="1:192" hidden="1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21"/>
        <v>нет минмакс</v>
      </c>
      <c r="Q160" s="95">
        <v>18209</v>
      </c>
      <c r="R160" s="95">
        <f t="shared" si="2048"/>
        <v>1084710.1300000001</v>
      </c>
      <c r="S160" s="114">
        <v>20532</v>
      </c>
      <c r="T160" s="114">
        <v>1356343.9200000002</v>
      </c>
      <c r="U160" s="131">
        <f t="shared" si="2022"/>
        <v>163</v>
      </c>
      <c r="V160" s="115">
        <f t="shared" si="2049"/>
        <v>22016</v>
      </c>
      <c r="W160" s="115">
        <f t="shared" si="2023"/>
        <v>1311493.1200000001</v>
      </c>
      <c r="X160" s="115">
        <f t="shared" si="2024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25"/>
        <v>0</v>
      </c>
      <c r="AF160" s="95">
        <f t="shared" si="2026"/>
        <v>0</v>
      </c>
      <c r="AG160" s="114">
        <v>0</v>
      </c>
      <c r="AH160" s="95">
        <f t="shared" si="2050"/>
        <v>22016</v>
      </c>
      <c r="AI160" s="114">
        <f t="shared" si="2027"/>
        <v>1311493.1200000001</v>
      </c>
      <c r="AJ160" s="114">
        <f t="shared" si="2051"/>
        <v>12910</v>
      </c>
      <c r="AK160" s="114">
        <f t="shared" si="2052"/>
        <v>36378</v>
      </c>
      <c r="AL160" s="114">
        <f t="shared" si="2053"/>
        <v>73360</v>
      </c>
      <c r="AM160" s="114">
        <f t="shared" si="2054"/>
        <v>110087</v>
      </c>
      <c r="AN160" s="133">
        <f t="shared" si="2028"/>
        <v>33.571266362059106</v>
      </c>
      <c r="AO160" s="133" t="str">
        <f t="shared" si="2029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30"/>
        <v>0-02</v>
      </c>
      <c r="AW160" s="126">
        <f t="shared" si="2031"/>
        <v>0</v>
      </c>
      <c r="AX160" s="138"/>
      <c r="AY160" s="115">
        <f t="shared" si="2032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33"/>
        <v>0</v>
      </c>
      <c r="BG160" s="32">
        <v>0</v>
      </c>
      <c r="BH160" s="32">
        <f t="shared" si="2034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35"/>
        <v>18347.833333333332</v>
      </c>
      <c r="BR160" s="95">
        <f t="shared" si="2036"/>
        <v>7911</v>
      </c>
      <c r="BS160" s="133">
        <f t="shared" si="2055"/>
        <v>-7519</v>
      </c>
      <c r="BT160" s="133">
        <f t="shared" si="2055"/>
        <v>-29645</v>
      </c>
      <c r="BU160" s="133">
        <f t="shared" si="2055"/>
        <v>-48924</v>
      </c>
      <c r="BV160" s="133">
        <f t="shared" si="2055"/>
        <v>-73762</v>
      </c>
      <c r="BW160" s="133">
        <f t="shared" si="2055"/>
        <v>-88071</v>
      </c>
      <c r="BX160" s="133">
        <f t="shared" si="2056"/>
        <v>-106418.83333333333</v>
      </c>
      <c r="BY160" s="133">
        <f t="shared" si="2056"/>
        <v>-124766.66666666666</v>
      </c>
      <c r="BZ160" s="133">
        <f t="shared" si="2056"/>
        <v>-143114.5</v>
      </c>
      <c r="CA160" s="133">
        <f t="shared" si="2056"/>
        <v>-161462.33333333334</v>
      </c>
      <c r="CB160" s="133">
        <f t="shared" si="2056"/>
        <v>-179810.16666666669</v>
      </c>
      <c r="CC160" s="133">
        <f t="shared" si="2056"/>
        <v>-198158.00000000003</v>
      </c>
      <c r="CD160" s="133">
        <f t="shared" si="2056"/>
        <v>-216505.83333333337</v>
      </c>
      <c r="CE160" s="133">
        <f t="shared" si="2056"/>
        <v>-234853.66666666672</v>
      </c>
      <c r="CF160" s="133">
        <f t="shared" si="2056"/>
        <v>-253201.50000000006</v>
      </c>
      <c r="CG160" s="133">
        <f t="shared" si="2056"/>
        <v>-271549.33333333337</v>
      </c>
      <c r="CH160" s="133">
        <f t="shared" si="2056"/>
        <v>-289897.16666666669</v>
      </c>
      <c r="CI160" s="133">
        <f t="shared" si="2056"/>
        <v>-308245</v>
      </c>
      <c r="CJ160" s="133">
        <f t="shared" si="2056"/>
        <v>-326592.83333333331</v>
      </c>
      <c r="CK160" s="133">
        <f t="shared" si="2056"/>
        <v>-344940.66666666663</v>
      </c>
      <c r="CL160" s="133">
        <f t="shared" si="2056"/>
        <v>-363288.49999999994</v>
      </c>
      <c r="CM160" s="133">
        <f t="shared" si="2056"/>
        <v>-381636.33333333326</v>
      </c>
      <c r="CN160" s="133">
        <f t="shared" si="2056"/>
        <v>-399984.16666666657</v>
      </c>
      <c r="CO160" s="133">
        <f t="shared" si="2056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37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2013"/>
        <v>0</v>
      </c>
      <c r="DB160" s="4">
        <f t="shared" si="2014"/>
        <v>0</v>
      </c>
      <c r="DC160" s="4">
        <f t="shared" si="2015"/>
        <v>0</v>
      </c>
      <c r="DD160" s="136">
        <f t="shared" si="2016"/>
        <v>0</v>
      </c>
      <c r="DE160" s="31">
        <v>0</v>
      </c>
      <c r="DG160" s="31">
        <v>0</v>
      </c>
      <c r="DH160" s="48">
        <f t="shared" si="2057"/>
        <v>0</v>
      </c>
      <c r="DI160" s="62">
        <v>9245.0969999999998</v>
      </c>
      <c r="DJ160" s="62">
        <v>588394.58899999992</v>
      </c>
      <c r="DK160" s="48">
        <f t="shared" si="2038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39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40"/>
        <v>136</v>
      </c>
      <c r="DV160" s="62">
        <v>11749</v>
      </c>
      <c r="DW160" s="62">
        <v>745767.44718072331</v>
      </c>
      <c r="DX160" s="62">
        <f t="shared" si="2058"/>
        <v>0</v>
      </c>
      <c r="DY160" s="62">
        <f t="shared" si="2041"/>
        <v>0</v>
      </c>
      <c r="DZ160" s="48">
        <f t="shared" si="2059"/>
        <v>0</v>
      </c>
      <c r="EA160" s="62">
        <f t="shared" si="2060"/>
        <v>0</v>
      </c>
      <c r="EB160" s="62">
        <f t="shared" si="2042"/>
        <v>0</v>
      </c>
      <c r="EC160" s="48">
        <f t="shared" si="2061"/>
        <v>0</v>
      </c>
      <c r="ED160" s="62">
        <f t="shared" si="2062"/>
        <v>0</v>
      </c>
      <c r="EE160" s="62">
        <f t="shared" si="2043"/>
        <v>0</v>
      </c>
      <c r="EF160" s="48">
        <f t="shared" si="2063"/>
        <v>0</v>
      </c>
      <c r="EG160" s="62">
        <f t="shared" si="2064"/>
        <v>0</v>
      </c>
      <c r="EH160" s="62">
        <f t="shared" si="2044"/>
        <v>0</v>
      </c>
      <c r="EI160" s="48">
        <f t="shared" si="2065"/>
        <v>0</v>
      </c>
      <c r="EJ160" s="62">
        <f t="shared" si="2066"/>
        <v>0</v>
      </c>
      <c r="EK160" s="62">
        <f t="shared" si="2045"/>
        <v>0</v>
      </c>
      <c r="EL160" s="48">
        <f t="shared" si="2067"/>
        <v>0</v>
      </c>
      <c r="EM160" s="62">
        <f t="shared" si="2068"/>
        <v>0</v>
      </c>
      <c r="EN160" s="62">
        <f t="shared" si="2046"/>
        <v>0</v>
      </c>
      <c r="EO160" s="48">
        <f t="shared" si="2069"/>
        <v>0</v>
      </c>
      <c r="EP160" s="62">
        <f t="shared" si="2018"/>
        <v>840234.85</v>
      </c>
      <c r="EQ160" s="62">
        <f t="shared" si="2018"/>
        <v>919165.1</v>
      </c>
      <c r="ER160" s="62">
        <f t="shared" si="2018"/>
        <v>1318045.82</v>
      </c>
      <c r="ES160" s="62">
        <f t="shared" si="2017"/>
        <v>1148450.03</v>
      </c>
      <c r="ET160" s="62">
        <f t="shared" si="2017"/>
        <v>1479599.66</v>
      </c>
      <c r="EU160" s="62">
        <f t="shared" si="2017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47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 t="shared" si="1821"/>
        <v>1</v>
      </c>
      <c r="FS160" s="120" t="b">
        <f t="shared" si="1822"/>
        <v>1</v>
      </c>
      <c r="FT160" s="120" t="b">
        <f t="shared" si="1823"/>
        <v>1</v>
      </c>
      <c r="FU160" s="120" t="b">
        <f t="shared" si="1824"/>
        <v>1</v>
      </c>
      <c r="FV160" s="120" t="b">
        <f t="shared" si="1825"/>
        <v>1</v>
      </c>
      <c r="FW160" s="104" t="b">
        <f t="shared" si="1881"/>
        <v>0</v>
      </c>
      <c r="FX160" s="120" t="b">
        <f t="shared" si="2070"/>
        <v>1</v>
      </c>
      <c r="FY160" s="104" t="s">
        <v>368</v>
      </c>
      <c r="FZ160" s="104" t="b">
        <f t="shared" si="2071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72"/>
        <v>1</v>
      </c>
      <c r="GI160" s="8" t="b">
        <f t="shared" si="2073"/>
        <v>0</v>
      </c>
      <c r="GJ160" s="31" t="s">
        <v>203</v>
      </c>
    </row>
    <row r="161" spans="1:192" hidden="1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21"/>
        <v>нет минмакс</v>
      </c>
      <c r="Q161" s="95">
        <v>15984</v>
      </c>
      <c r="R161" s="95">
        <f t="shared" si="2048"/>
        <v>444674.88</v>
      </c>
      <c r="S161" s="114">
        <v>46896</v>
      </c>
      <c r="T161" s="114">
        <v>1311681.1199999999</v>
      </c>
      <c r="U161" s="131">
        <f t="shared" si="2022"/>
        <v>206</v>
      </c>
      <c r="V161" s="115">
        <f t="shared" si="2049"/>
        <v>7784</v>
      </c>
      <c r="W161" s="115">
        <f t="shared" si="2023"/>
        <v>216550.88</v>
      </c>
      <c r="X161" s="115">
        <f t="shared" si="2024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25"/>
        <v>0</v>
      </c>
      <c r="AF161" s="95">
        <f t="shared" si="2026"/>
        <v>0</v>
      </c>
      <c r="AG161" s="114">
        <v>0</v>
      </c>
      <c r="AH161" s="95">
        <f t="shared" si="2050"/>
        <v>7784</v>
      </c>
      <c r="AI161" s="114">
        <f t="shared" si="2027"/>
        <v>216550.88</v>
      </c>
      <c r="AJ161" s="114">
        <f t="shared" si="2051"/>
        <v>17546</v>
      </c>
      <c r="AK161" s="114">
        <f t="shared" si="2052"/>
        <v>45203</v>
      </c>
      <c r="AL161" s="114">
        <f t="shared" si="2053"/>
        <v>103956</v>
      </c>
      <c r="AM161" s="114">
        <f t="shared" si="2054"/>
        <v>184861</v>
      </c>
      <c r="AN161" s="133">
        <f t="shared" si="2028"/>
        <v>45.662849384131853</v>
      </c>
      <c r="AO161" s="133" t="str">
        <f t="shared" si="2029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30"/>
        <v>0-01</v>
      </c>
      <c r="AW161" s="126">
        <f t="shared" si="2031"/>
        <v>0</v>
      </c>
      <c r="AX161" s="138"/>
      <c r="AY161" s="115">
        <f t="shared" si="2032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33"/>
        <v>0</v>
      </c>
      <c r="BG161" s="32">
        <v>0</v>
      </c>
      <c r="BH161" s="32">
        <f t="shared" si="2034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35"/>
        <v>30810.166666666668</v>
      </c>
      <c r="BR161" s="95">
        <f t="shared" si="2036"/>
        <v>-7513</v>
      </c>
      <c r="BS161" s="133">
        <f t="shared" si="2055"/>
        <v>-46081</v>
      </c>
      <c r="BT161" s="133">
        <f t="shared" si="2055"/>
        <v>-76297</v>
      </c>
      <c r="BU161" s="133">
        <f t="shared" si="2055"/>
        <v>-105197</v>
      </c>
      <c r="BV161" s="133">
        <f t="shared" si="2055"/>
        <v>-137079</v>
      </c>
      <c r="BW161" s="133">
        <f t="shared" si="2055"/>
        <v>-168877</v>
      </c>
      <c r="BX161" s="133">
        <f t="shared" si="2056"/>
        <v>-199687.16666666666</v>
      </c>
      <c r="BY161" s="133">
        <f t="shared" si="2056"/>
        <v>-230497.33333333331</v>
      </c>
      <c r="BZ161" s="133">
        <f t="shared" si="2056"/>
        <v>-261307.49999999997</v>
      </c>
      <c r="CA161" s="133">
        <f t="shared" ref="CA161:CO161" si="2074">BZ161-$BQ161</f>
        <v>-292117.66666666663</v>
      </c>
      <c r="CB161" s="133">
        <f t="shared" si="2074"/>
        <v>-322927.83333333331</v>
      </c>
      <c r="CC161" s="133">
        <f t="shared" si="2074"/>
        <v>-353738</v>
      </c>
      <c r="CD161" s="133">
        <f t="shared" si="2074"/>
        <v>-384548.16666666669</v>
      </c>
      <c r="CE161" s="133">
        <f t="shared" si="2074"/>
        <v>-415358.33333333337</v>
      </c>
      <c r="CF161" s="133">
        <f t="shared" si="2074"/>
        <v>-446168.50000000006</v>
      </c>
      <c r="CG161" s="133">
        <f t="shared" si="2074"/>
        <v>-476978.66666666674</v>
      </c>
      <c r="CH161" s="133">
        <f t="shared" si="2074"/>
        <v>-507788.83333333343</v>
      </c>
      <c r="CI161" s="133">
        <f t="shared" si="2074"/>
        <v>-538599.00000000012</v>
      </c>
      <c r="CJ161" s="133">
        <f t="shared" si="2074"/>
        <v>-569409.16666666674</v>
      </c>
      <c r="CK161" s="133">
        <f t="shared" si="2074"/>
        <v>-600219.33333333337</v>
      </c>
      <c r="CL161" s="133">
        <f t="shared" si="2074"/>
        <v>-631029.5</v>
      </c>
      <c r="CM161" s="133">
        <f t="shared" si="2074"/>
        <v>-661839.66666666663</v>
      </c>
      <c r="CN161" s="133">
        <f t="shared" si="2074"/>
        <v>-692649.83333333326</v>
      </c>
      <c r="CO161" s="133">
        <f t="shared" si="2074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37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2013"/>
        <v>0</v>
      </c>
      <c r="DB161" s="4">
        <f t="shared" si="2014"/>
        <v>0</v>
      </c>
      <c r="DC161" s="4">
        <f t="shared" si="2015"/>
        <v>0</v>
      </c>
      <c r="DD161" s="136">
        <f t="shared" si="2016"/>
        <v>0</v>
      </c>
      <c r="DE161" s="31">
        <v>0</v>
      </c>
      <c r="DG161" s="31">
        <v>0</v>
      </c>
      <c r="DH161" s="48">
        <f t="shared" si="2057"/>
        <v>0</v>
      </c>
      <c r="DI161" s="62">
        <v>44455.224999999991</v>
      </c>
      <c r="DJ161" s="62">
        <v>1204160.817</v>
      </c>
      <c r="DK161" s="48">
        <f t="shared" si="2038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39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40"/>
        <v>228</v>
      </c>
      <c r="DV161" s="62">
        <v>14297</v>
      </c>
      <c r="DW161" s="62">
        <v>393510.25189911103</v>
      </c>
      <c r="DX161" s="62">
        <f t="shared" si="2058"/>
        <v>0</v>
      </c>
      <c r="DY161" s="62">
        <f t="shared" si="2041"/>
        <v>0</v>
      </c>
      <c r="DZ161" s="48">
        <f t="shared" si="2059"/>
        <v>0</v>
      </c>
      <c r="EA161" s="62">
        <f t="shared" si="2060"/>
        <v>0</v>
      </c>
      <c r="EB161" s="62">
        <f t="shared" si="2042"/>
        <v>0</v>
      </c>
      <c r="EC161" s="48">
        <f t="shared" si="2061"/>
        <v>0</v>
      </c>
      <c r="ED161" s="62">
        <f t="shared" si="2062"/>
        <v>0</v>
      </c>
      <c r="EE161" s="62">
        <f t="shared" si="2043"/>
        <v>0</v>
      </c>
      <c r="EF161" s="48">
        <f t="shared" si="2063"/>
        <v>0</v>
      </c>
      <c r="EG161" s="62">
        <f t="shared" si="2064"/>
        <v>0</v>
      </c>
      <c r="EH161" s="62">
        <f t="shared" si="2044"/>
        <v>0</v>
      </c>
      <c r="EI161" s="48">
        <f t="shared" si="2065"/>
        <v>0</v>
      </c>
      <c r="EJ161" s="62">
        <f t="shared" si="2066"/>
        <v>0</v>
      </c>
      <c r="EK161" s="62">
        <f t="shared" si="2045"/>
        <v>0</v>
      </c>
      <c r="EL161" s="48">
        <f t="shared" si="2067"/>
        <v>0</v>
      </c>
      <c r="EM161" s="62">
        <f t="shared" si="2068"/>
        <v>0</v>
      </c>
      <c r="EN161" s="62">
        <f t="shared" si="2046"/>
        <v>0</v>
      </c>
      <c r="EO161" s="48">
        <f t="shared" si="2069"/>
        <v>0</v>
      </c>
      <c r="EP161" s="62">
        <f t="shared" si="2018"/>
        <v>653686.54</v>
      </c>
      <c r="EQ161" s="62">
        <f t="shared" si="2018"/>
        <v>1072961.76</v>
      </c>
      <c r="ER161" s="62">
        <f t="shared" si="2018"/>
        <v>840609.12</v>
      </c>
      <c r="ES161" s="62">
        <f t="shared" si="2017"/>
        <v>803998</v>
      </c>
      <c r="ET161" s="62">
        <f t="shared" si="2017"/>
        <v>886957.24</v>
      </c>
      <c r="EU161" s="62">
        <f t="shared" si="2017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47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 t="shared" si="1821"/>
        <v>1</v>
      </c>
      <c r="FS161" s="120" t="b">
        <f t="shared" si="1822"/>
        <v>1</v>
      </c>
      <c r="FT161" s="120" t="b">
        <f t="shared" si="1823"/>
        <v>1</v>
      </c>
      <c r="FU161" s="120" t="b">
        <f t="shared" si="1824"/>
        <v>1</v>
      </c>
      <c r="FV161" s="120" t="b">
        <f t="shared" si="1825"/>
        <v>1</v>
      </c>
      <c r="FW161" s="104" t="b">
        <f t="shared" si="1881"/>
        <v>0</v>
      </c>
      <c r="FX161" s="120" t="b">
        <f t="shared" si="2070"/>
        <v>1</v>
      </c>
      <c r="FY161" s="104" t="s">
        <v>368</v>
      </c>
      <c r="FZ161" s="104" t="b">
        <f t="shared" si="2071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72"/>
        <v>1</v>
      </c>
      <c r="GI161" s="8" t="b">
        <f t="shared" si="2073"/>
        <v>0</v>
      </c>
      <c r="GJ161" s="31" t="s">
        <v>203</v>
      </c>
    </row>
    <row r="162" spans="1:192" hidden="1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21"/>
        <v>нет минмакс</v>
      </c>
      <c r="Q162" s="95">
        <v>129001</v>
      </c>
      <c r="R162" s="95">
        <f t="shared" si="2048"/>
        <v>3525597.3299999996</v>
      </c>
      <c r="S162" s="114">
        <v>42990</v>
      </c>
      <c r="T162" s="114">
        <v>1274653.5</v>
      </c>
      <c r="U162" s="131">
        <f t="shared" si="2022"/>
        <v>200</v>
      </c>
      <c r="V162" s="115">
        <f t="shared" si="2049"/>
        <v>159798</v>
      </c>
      <c r="W162" s="115">
        <f t="shared" si="2023"/>
        <v>4367279.34</v>
      </c>
      <c r="X162" s="115">
        <f t="shared" si="2024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25"/>
        <v>0</v>
      </c>
      <c r="AF162" s="95">
        <f t="shared" si="2026"/>
        <v>0</v>
      </c>
      <c r="AG162" s="114">
        <v>0</v>
      </c>
      <c r="AH162" s="95">
        <f t="shared" si="2050"/>
        <v>159798</v>
      </c>
      <c r="AI162" s="114">
        <f t="shared" si="2027"/>
        <v>4367279.34</v>
      </c>
      <c r="AJ162" s="114">
        <f t="shared" si="2051"/>
        <v>103453</v>
      </c>
      <c r="AK162" s="114">
        <f t="shared" si="2052"/>
        <v>327581</v>
      </c>
      <c r="AL162" s="114">
        <f t="shared" si="2053"/>
        <v>718501</v>
      </c>
      <c r="AM162" s="114">
        <f t="shared" si="2054"/>
        <v>1106452</v>
      </c>
      <c r="AN162" s="133">
        <f t="shared" si="2028"/>
        <v>6.9937060080328841</v>
      </c>
      <c r="AO162" s="133" t="str">
        <f t="shared" si="2029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30"/>
        <v>0-02</v>
      </c>
      <c r="AW162" s="126">
        <f t="shared" si="2031"/>
        <v>0</v>
      </c>
      <c r="AX162" s="138"/>
      <c r="AY162" s="115">
        <f t="shared" si="2032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33"/>
        <v>0</v>
      </c>
      <c r="BG162" s="32">
        <v>0</v>
      </c>
      <c r="BH162" s="32">
        <f t="shared" si="2034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35"/>
        <v>184408.66666666666</v>
      </c>
      <c r="BR162" s="95">
        <f t="shared" si="2036"/>
        <v>37234</v>
      </c>
      <c r="BS162" s="133">
        <f t="shared" si="2055"/>
        <v>-261694</v>
      </c>
      <c r="BT162" s="133">
        <f t="shared" si="2055"/>
        <v>-466945</v>
      </c>
      <c r="BU162" s="133">
        <f t="shared" si="2055"/>
        <v>-638508</v>
      </c>
      <c r="BV162" s="133">
        <f t="shared" si="2055"/>
        <v>-793758</v>
      </c>
      <c r="BW162" s="133">
        <f t="shared" si="2055"/>
        <v>-946654</v>
      </c>
      <c r="BX162" s="133">
        <f t="shared" ref="BX162:CO167" si="2075">BW162-$BQ162</f>
        <v>-1131062.6666666667</v>
      </c>
      <c r="BY162" s="133">
        <f t="shared" si="2075"/>
        <v>-1315471.3333333335</v>
      </c>
      <c r="BZ162" s="133">
        <f t="shared" si="2075"/>
        <v>-1499880.0000000002</v>
      </c>
      <c r="CA162" s="133">
        <f t="shared" si="2075"/>
        <v>-1684288.666666667</v>
      </c>
      <c r="CB162" s="133">
        <f t="shared" si="2075"/>
        <v>-1868697.3333333337</v>
      </c>
      <c r="CC162" s="133">
        <f t="shared" si="2075"/>
        <v>-2053106.0000000005</v>
      </c>
      <c r="CD162" s="133">
        <f t="shared" si="2075"/>
        <v>-2237514.666666667</v>
      </c>
      <c r="CE162" s="133">
        <f t="shared" si="2075"/>
        <v>-2421923.3333333335</v>
      </c>
      <c r="CF162" s="133">
        <f t="shared" si="2075"/>
        <v>-2606332</v>
      </c>
      <c r="CG162" s="133">
        <f t="shared" si="2075"/>
        <v>-2790740.6666666665</v>
      </c>
      <c r="CH162" s="133">
        <f t="shared" si="2075"/>
        <v>-2975149.333333333</v>
      </c>
      <c r="CI162" s="133">
        <f t="shared" si="2075"/>
        <v>-3159557.9999999995</v>
      </c>
      <c r="CJ162" s="133">
        <f t="shared" si="2075"/>
        <v>-3343966.666666666</v>
      </c>
      <c r="CK162" s="133">
        <f t="shared" si="2075"/>
        <v>-3528375.3333333326</v>
      </c>
      <c r="CL162" s="133">
        <f t="shared" si="2075"/>
        <v>-3712783.9999999991</v>
      </c>
      <c r="CM162" s="133">
        <f t="shared" si="2075"/>
        <v>-3897192.6666666656</v>
      </c>
      <c r="CN162" s="133">
        <f t="shared" si="2075"/>
        <v>-4081601.3333333321</v>
      </c>
      <c r="CO162" s="133">
        <f t="shared" si="2075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37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2013"/>
        <v>0</v>
      </c>
      <c r="DB162" s="4">
        <f t="shared" si="2014"/>
        <v>0</v>
      </c>
      <c r="DC162" s="4">
        <f t="shared" si="2015"/>
        <v>0</v>
      </c>
      <c r="DD162" s="136">
        <f t="shared" si="2016"/>
        <v>0</v>
      </c>
      <c r="DE162" s="31">
        <v>0</v>
      </c>
      <c r="DG162" s="31">
        <v>0</v>
      </c>
      <c r="DH162" s="48">
        <f t="shared" si="2057"/>
        <v>0</v>
      </c>
      <c r="DI162" s="62">
        <v>42378.548999999999</v>
      </c>
      <c r="DJ162" s="62">
        <v>1238087.0970000003</v>
      </c>
      <c r="DK162" s="48">
        <f t="shared" si="2038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39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40"/>
        <v>227</v>
      </c>
      <c r="DV162" s="62">
        <v>132792</v>
      </c>
      <c r="DW162" s="62">
        <v>3989340.0701083913</v>
      </c>
      <c r="DX162" s="62">
        <f t="shared" si="2058"/>
        <v>0</v>
      </c>
      <c r="DY162" s="62">
        <f t="shared" si="2041"/>
        <v>0</v>
      </c>
      <c r="DZ162" s="48">
        <f t="shared" si="2059"/>
        <v>0</v>
      </c>
      <c r="EA162" s="62">
        <f t="shared" si="2060"/>
        <v>0</v>
      </c>
      <c r="EB162" s="62">
        <f t="shared" si="2042"/>
        <v>0</v>
      </c>
      <c r="EC162" s="48">
        <f t="shared" si="2061"/>
        <v>0</v>
      </c>
      <c r="ED162" s="62">
        <f t="shared" si="2062"/>
        <v>0</v>
      </c>
      <c r="EE162" s="62">
        <f t="shared" si="2043"/>
        <v>0</v>
      </c>
      <c r="EF162" s="48">
        <f t="shared" si="2063"/>
        <v>0</v>
      </c>
      <c r="EG162" s="62">
        <f t="shared" si="2064"/>
        <v>0</v>
      </c>
      <c r="EH162" s="62">
        <f t="shared" si="2044"/>
        <v>0</v>
      </c>
      <c r="EI162" s="48">
        <f t="shared" si="2065"/>
        <v>0</v>
      </c>
      <c r="EJ162" s="62">
        <f t="shared" si="2066"/>
        <v>0</v>
      </c>
      <c r="EK162" s="62">
        <f t="shared" si="2045"/>
        <v>0</v>
      </c>
      <c r="EL162" s="48">
        <f t="shared" si="2067"/>
        <v>0</v>
      </c>
      <c r="EM162" s="62">
        <f t="shared" si="2068"/>
        <v>0</v>
      </c>
      <c r="EN162" s="62">
        <f t="shared" si="2046"/>
        <v>0</v>
      </c>
      <c r="EO162" s="48">
        <f t="shared" si="2069"/>
        <v>0</v>
      </c>
      <c r="EP162" s="62">
        <f t="shared" si="2018"/>
        <v>3349674.1199999996</v>
      </c>
      <c r="EQ162" s="62">
        <f t="shared" si="2018"/>
        <v>8169702.2399999993</v>
      </c>
      <c r="ER162" s="62">
        <f t="shared" si="2018"/>
        <v>5609509.8300000001</v>
      </c>
      <c r="ES162" s="62">
        <f t="shared" si="2017"/>
        <v>4688816.79</v>
      </c>
      <c r="ET162" s="62">
        <f t="shared" si="2017"/>
        <v>4242982.5</v>
      </c>
      <c r="EU162" s="62">
        <f t="shared" si="2017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47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 t="shared" si="1821"/>
        <v>1</v>
      </c>
      <c r="FS162" s="120" t="b">
        <f t="shared" si="1822"/>
        <v>1</v>
      </c>
      <c r="FT162" s="120" t="b">
        <f t="shared" si="1823"/>
        <v>1</v>
      </c>
      <c r="FU162" s="120" t="b">
        <f t="shared" si="1824"/>
        <v>1</v>
      </c>
      <c r="FV162" s="120" t="b">
        <f t="shared" si="1825"/>
        <v>1</v>
      </c>
      <c r="FW162" s="104" t="b">
        <f t="shared" si="1881"/>
        <v>0</v>
      </c>
      <c r="FX162" s="120" t="b">
        <f t="shared" si="2070"/>
        <v>1</v>
      </c>
      <c r="FY162" s="104" t="s">
        <v>368</v>
      </c>
      <c r="FZ162" s="104" t="b">
        <f t="shared" si="2071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72"/>
        <v>1</v>
      </c>
      <c r="GI162" s="8" t="b">
        <f t="shared" si="2073"/>
        <v>0</v>
      </c>
      <c r="GJ162" s="31" t="s">
        <v>203</v>
      </c>
    </row>
    <row r="163" spans="1:192" ht="30" hidden="1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21"/>
        <v>нет минмакс</v>
      </c>
      <c r="Q163" s="95">
        <v>6682.48486328125</v>
      </c>
      <c r="R163" s="95">
        <f t="shared" si="2048"/>
        <v>865314.96494628908</v>
      </c>
      <c r="S163" s="114">
        <v>8691.988037109375</v>
      </c>
      <c r="T163" s="114">
        <v>1261642.0635864257</v>
      </c>
      <c r="U163" s="131">
        <f t="shared" si="2022"/>
        <v>0</v>
      </c>
      <c r="V163" s="115">
        <f t="shared" si="2049"/>
        <v>2605.449951171875</v>
      </c>
      <c r="W163" s="115">
        <f t="shared" si="2023"/>
        <v>337379.71417724609</v>
      </c>
      <c r="X163" s="115">
        <f t="shared" si="2024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25"/>
        <v>0</v>
      </c>
      <c r="AF163" s="95">
        <f t="shared" si="2026"/>
        <v>0</v>
      </c>
      <c r="AG163" s="114">
        <v>0</v>
      </c>
      <c r="AH163" s="95">
        <f t="shared" si="2050"/>
        <v>2605.449951171875</v>
      </c>
      <c r="AI163" s="114">
        <f t="shared" si="2027"/>
        <v>337379.71417724609</v>
      </c>
      <c r="AJ163" s="114">
        <f t="shared" si="2051"/>
        <v>131952</v>
      </c>
      <c r="AK163" s="114">
        <f t="shared" si="2052"/>
        <v>300543</v>
      </c>
      <c r="AL163" s="114">
        <f t="shared" si="2053"/>
        <v>568091</v>
      </c>
      <c r="AM163" s="114">
        <f t="shared" si="2054"/>
        <v>0</v>
      </c>
      <c r="AN163" s="133" t="str">
        <f t="shared" si="2028"/>
        <v>нет оборота</v>
      </c>
      <c r="AO163" s="133" t="str">
        <f t="shared" si="2029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30"/>
        <v>Нет планов</v>
      </c>
      <c r="AW163" s="126">
        <f t="shared" si="2031"/>
        <v>337379.71417724609</v>
      </c>
      <c r="AX163" s="138"/>
      <c r="AY163" s="115">
        <f t="shared" si="2032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33"/>
        <v>0</v>
      </c>
      <c r="BG163" s="32">
        <v>0</v>
      </c>
      <c r="BH163" s="32">
        <f t="shared" si="2034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35"/>
        <v>0</v>
      </c>
      <c r="BR163" s="95">
        <f t="shared" si="2036"/>
        <v>2605.449951171875</v>
      </c>
      <c r="BS163" s="133">
        <f t="shared" si="2055"/>
        <v>2605.449951171875</v>
      </c>
      <c r="BT163" s="133">
        <f t="shared" si="2055"/>
        <v>2605.449951171875</v>
      </c>
      <c r="BU163" s="133">
        <f t="shared" si="2055"/>
        <v>2605.449951171875</v>
      </c>
      <c r="BV163" s="133">
        <f t="shared" si="2055"/>
        <v>2605.449951171875</v>
      </c>
      <c r="BW163" s="133">
        <f t="shared" si="2055"/>
        <v>2605.449951171875</v>
      </c>
      <c r="BX163" s="133">
        <f t="shared" si="2075"/>
        <v>2605.449951171875</v>
      </c>
      <c r="BY163" s="133">
        <f t="shared" si="2075"/>
        <v>2605.449951171875</v>
      </c>
      <c r="BZ163" s="133">
        <f t="shared" si="2075"/>
        <v>2605.449951171875</v>
      </c>
      <c r="CA163" s="133">
        <f t="shared" si="2075"/>
        <v>2605.449951171875</v>
      </c>
      <c r="CB163" s="133">
        <f t="shared" si="2075"/>
        <v>2605.449951171875</v>
      </c>
      <c r="CC163" s="133">
        <f t="shared" si="2075"/>
        <v>2605.449951171875</v>
      </c>
      <c r="CD163" s="133">
        <f t="shared" si="2075"/>
        <v>2605.449951171875</v>
      </c>
      <c r="CE163" s="133">
        <f t="shared" si="2075"/>
        <v>2605.449951171875</v>
      </c>
      <c r="CF163" s="133">
        <f t="shared" si="2075"/>
        <v>2605.449951171875</v>
      </c>
      <c r="CG163" s="133">
        <f t="shared" si="2075"/>
        <v>2605.449951171875</v>
      </c>
      <c r="CH163" s="133">
        <f t="shared" si="2075"/>
        <v>2605.449951171875</v>
      </c>
      <c r="CI163" s="133">
        <f t="shared" si="2075"/>
        <v>2605.449951171875</v>
      </c>
      <c r="CJ163" s="133">
        <f t="shared" si="2075"/>
        <v>2605.449951171875</v>
      </c>
      <c r="CK163" s="133">
        <f t="shared" si="2075"/>
        <v>2605.449951171875</v>
      </c>
      <c r="CL163" s="133">
        <f t="shared" si="2075"/>
        <v>2605.449951171875</v>
      </c>
      <c r="CM163" s="133">
        <f t="shared" si="2075"/>
        <v>2605.449951171875</v>
      </c>
      <c r="CN163" s="133">
        <f t="shared" si="2075"/>
        <v>2605.449951171875</v>
      </c>
      <c r="CO163" s="133">
        <f t="shared" si="2075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37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2013"/>
        <v>0</v>
      </c>
      <c r="DB163" s="4">
        <f t="shared" si="2014"/>
        <v>0</v>
      </c>
      <c r="DC163" s="4">
        <f t="shared" si="2015"/>
        <v>0</v>
      </c>
      <c r="DD163" s="136">
        <f t="shared" si="2016"/>
        <v>0</v>
      </c>
      <c r="DE163" s="31">
        <v>0</v>
      </c>
      <c r="DG163" s="31">
        <v>0</v>
      </c>
      <c r="DH163" s="48">
        <f t="shared" si="2057"/>
        <v>0</v>
      </c>
      <c r="DI163" s="62">
        <v>6112.4039999999995</v>
      </c>
      <c r="DJ163" s="62">
        <v>854074.72900000005</v>
      </c>
      <c r="DK163" s="48">
        <f t="shared" si="2038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39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40"/>
        <v>0</v>
      </c>
      <c r="DV163" s="62">
        <v>97411.621000000028</v>
      </c>
      <c r="DW163" s="62">
        <v>14109982.35674059</v>
      </c>
      <c r="DX163" s="62">
        <f t="shared" si="2058"/>
        <v>0</v>
      </c>
      <c r="DY163" s="62">
        <f t="shared" si="2041"/>
        <v>0</v>
      </c>
      <c r="DZ163" s="48">
        <f t="shared" si="2059"/>
        <v>0</v>
      </c>
      <c r="EA163" s="62">
        <f t="shared" si="2060"/>
        <v>0</v>
      </c>
      <c r="EB163" s="62">
        <f t="shared" si="2042"/>
        <v>0</v>
      </c>
      <c r="EC163" s="48">
        <f t="shared" si="2061"/>
        <v>0</v>
      </c>
      <c r="ED163" s="62">
        <f t="shared" si="2062"/>
        <v>0</v>
      </c>
      <c r="EE163" s="62">
        <f t="shared" si="2043"/>
        <v>0</v>
      </c>
      <c r="EF163" s="48">
        <f t="shared" si="2063"/>
        <v>0</v>
      </c>
      <c r="EG163" s="62">
        <f t="shared" si="2064"/>
        <v>0</v>
      </c>
      <c r="EH163" s="62">
        <f t="shared" si="2044"/>
        <v>0</v>
      </c>
      <c r="EI163" s="48">
        <f t="shared" si="2065"/>
        <v>0</v>
      </c>
      <c r="EJ163" s="62">
        <f t="shared" si="2066"/>
        <v>0</v>
      </c>
      <c r="EK163" s="62">
        <f t="shared" si="2045"/>
        <v>0</v>
      </c>
      <c r="EL163" s="48">
        <f t="shared" si="2067"/>
        <v>0</v>
      </c>
      <c r="EM163" s="62">
        <f t="shared" si="2068"/>
        <v>0</v>
      </c>
      <c r="EN163" s="62">
        <f t="shared" si="2046"/>
        <v>0</v>
      </c>
      <c r="EO163" s="48">
        <f t="shared" si="2069"/>
        <v>0</v>
      </c>
      <c r="EP163" s="62">
        <f t="shared" si="2018"/>
        <v>0</v>
      </c>
      <c r="EQ163" s="62">
        <f t="shared" si="2018"/>
        <v>0</v>
      </c>
      <c r="ER163" s="62">
        <f t="shared" si="2018"/>
        <v>0</v>
      </c>
      <c r="ES163" s="62">
        <f t="shared" si="2017"/>
        <v>0</v>
      </c>
      <c r="ET163" s="62">
        <f t="shared" si="2017"/>
        <v>0</v>
      </c>
      <c r="EU163" s="62">
        <f t="shared" si="2017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47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 t="shared" si="1821"/>
        <v>1</v>
      </c>
      <c r="FS163" s="120" t="b">
        <f t="shared" si="1822"/>
        <v>1</v>
      </c>
      <c r="FT163" s="120" t="b">
        <f t="shared" si="1823"/>
        <v>1</v>
      </c>
      <c r="FU163" s="120" t="b">
        <f t="shared" si="1824"/>
        <v>1</v>
      </c>
      <c r="FV163" s="120" t="b">
        <f t="shared" si="1825"/>
        <v>1</v>
      </c>
      <c r="FW163" s="104" t="b">
        <f t="shared" si="1881"/>
        <v>0</v>
      </c>
      <c r="FX163" s="120" t="b">
        <f t="shared" si="2070"/>
        <v>1</v>
      </c>
      <c r="FY163" s="104" t="s">
        <v>368</v>
      </c>
      <c r="FZ163" s="104" t="b">
        <f t="shared" si="2071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72"/>
        <v>1</v>
      </c>
      <c r="GI163" s="8" t="b">
        <f t="shared" si="2073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21"/>
        <v>больше макс</v>
      </c>
      <c r="Q164" s="95">
        <v>204</v>
      </c>
      <c r="R164" s="95">
        <f t="shared" si="2048"/>
        <v>450574.8</v>
      </c>
      <c r="S164" s="131">
        <v>574</v>
      </c>
      <c r="T164" s="131">
        <v>1267793.7999999998</v>
      </c>
      <c r="U164" s="131">
        <f t="shared" si="2022"/>
        <v>1.5</v>
      </c>
      <c r="V164" s="113">
        <f t="shared" si="2049"/>
        <v>50</v>
      </c>
      <c r="W164" s="113">
        <f t="shared" si="2023"/>
        <v>110434.99999999999</v>
      </c>
      <c r="X164" s="113">
        <f t="shared" si="2024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25"/>
        <v>0</v>
      </c>
      <c r="AF164" s="95">
        <f t="shared" si="2026"/>
        <v>0</v>
      </c>
      <c r="AG164" s="114">
        <v>0</v>
      </c>
      <c r="AH164" s="95">
        <f t="shared" si="2050"/>
        <v>50</v>
      </c>
      <c r="AI164" s="114">
        <f t="shared" si="2027"/>
        <v>110434.99999999999</v>
      </c>
      <c r="AJ164" s="133">
        <f t="shared" si="2051"/>
        <v>154</v>
      </c>
      <c r="AK164" s="133">
        <f t="shared" si="2052"/>
        <v>594</v>
      </c>
      <c r="AL164" s="133">
        <f t="shared" si="2053"/>
        <v>825</v>
      </c>
      <c r="AM164" s="133">
        <f t="shared" si="2054"/>
        <v>505.68</v>
      </c>
      <c r="AN164" s="133">
        <f t="shared" si="2028"/>
        <v>136.21262458471759</v>
      </c>
      <c r="AO164" s="133" t="str">
        <f t="shared" si="2029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30"/>
        <v>0-03</v>
      </c>
      <c r="AW164" s="117">
        <f t="shared" si="2031"/>
        <v>0</v>
      </c>
      <c r="AX164" s="14"/>
      <c r="AY164" s="25">
        <f t="shared" si="2032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33"/>
        <v>0</v>
      </c>
      <c r="BG164" s="32">
        <v>0</v>
      </c>
      <c r="BH164" s="32">
        <f t="shared" si="2034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35"/>
        <v>126.42</v>
      </c>
      <c r="BR164" s="95">
        <f t="shared" si="2036"/>
        <v>60.44</v>
      </c>
      <c r="BS164" s="133">
        <f t="shared" si="2055"/>
        <v>60.44</v>
      </c>
      <c r="BT164" s="133">
        <f t="shared" si="2055"/>
        <v>-83.12</v>
      </c>
      <c r="BU164" s="133">
        <f t="shared" si="2055"/>
        <v>-226.68</v>
      </c>
      <c r="BV164" s="133">
        <f t="shared" si="2055"/>
        <v>-226.68</v>
      </c>
      <c r="BW164" s="133">
        <f t="shared" si="2055"/>
        <v>-301.68</v>
      </c>
      <c r="BX164" s="133">
        <f t="shared" si="2075"/>
        <v>-428.1</v>
      </c>
      <c r="BY164" s="133">
        <f t="shared" si="2075"/>
        <v>-554.52</v>
      </c>
      <c r="BZ164" s="133">
        <f t="shared" si="2075"/>
        <v>-680.93999999999994</v>
      </c>
      <c r="CA164" s="133">
        <f t="shared" si="2075"/>
        <v>-807.3599999999999</v>
      </c>
      <c r="CB164" s="133">
        <f t="shared" si="2075"/>
        <v>-933.77999999999986</v>
      </c>
      <c r="CC164" s="133">
        <f t="shared" si="2075"/>
        <v>-1060.1999999999998</v>
      </c>
      <c r="CD164" s="133">
        <f t="shared" si="2075"/>
        <v>-1186.6199999999999</v>
      </c>
      <c r="CE164" s="133">
        <f t="shared" si="2075"/>
        <v>-1313.04</v>
      </c>
      <c r="CF164" s="133">
        <f t="shared" si="2075"/>
        <v>-1439.46</v>
      </c>
      <c r="CG164" s="133">
        <f t="shared" si="2075"/>
        <v>-1565.88</v>
      </c>
      <c r="CH164" s="133">
        <f t="shared" si="2075"/>
        <v>-1692.3000000000002</v>
      </c>
      <c r="CI164" s="133">
        <f t="shared" si="2075"/>
        <v>-1818.7200000000003</v>
      </c>
      <c r="CJ164" s="133">
        <f t="shared" si="2075"/>
        <v>-1945.1400000000003</v>
      </c>
      <c r="CK164" s="133">
        <f t="shared" si="2075"/>
        <v>-2071.5600000000004</v>
      </c>
      <c r="CL164" s="133">
        <f t="shared" si="2075"/>
        <v>-2197.9800000000005</v>
      </c>
      <c r="CM164" s="133">
        <f t="shared" si="2075"/>
        <v>-2324.4000000000005</v>
      </c>
      <c r="CN164" s="133">
        <f t="shared" si="2075"/>
        <v>-2450.8200000000006</v>
      </c>
      <c r="CO164" s="133">
        <f t="shared" si="2075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37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2013"/>
        <v>0</v>
      </c>
      <c r="DB164" s="4">
        <f t="shared" si="2014"/>
        <v>0</v>
      </c>
      <c r="DC164" s="4">
        <f t="shared" si="2015"/>
        <v>0</v>
      </c>
      <c r="DD164" s="136">
        <f t="shared" si="2016"/>
        <v>0</v>
      </c>
      <c r="DE164" s="31">
        <v>0</v>
      </c>
      <c r="DF164" s="31">
        <v>45</v>
      </c>
      <c r="DG164" s="31">
        <v>0</v>
      </c>
      <c r="DH164" s="48">
        <f t="shared" si="2057"/>
        <v>0</v>
      </c>
      <c r="DI164" s="62">
        <v>525</v>
      </c>
      <c r="DJ164" s="62">
        <v>1161399.1299999999</v>
      </c>
      <c r="DK164" s="48">
        <f t="shared" si="2038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39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40"/>
        <v>1.5</v>
      </c>
      <c r="DV164" s="62">
        <v>224</v>
      </c>
      <c r="DW164" s="62">
        <v>490819.51030303031</v>
      </c>
      <c r="DX164" s="62">
        <f t="shared" si="2058"/>
        <v>215.34</v>
      </c>
      <c r="DY164" s="62">
        <f t="shared" si="2041"/>
        <v>475621.45799999998</v>
      </c>
      <c r="DZ164" s="48">
        <f t="shared" si="2059"/>
        <v>1.5</v>
      </c>
      <c r="EA164" s="62">
        <f t="shared" si="2060"/>
        <v>0</v>
      </c>
      <c r="EB164" s="62">
        <f t="shared" si="2042"/>
        <v>0</v>
      </c>
      <c r="EC164" s="48">
        <f t="shared" si="2061"/>
        <v>0</v>
      </c>
      <c r="ED164" s="62">
        <f t="shared" si="2062"/>
        <v>215.34</v>
      </c>
      <c r="EE164" s="62">
        <f t="shared" si="2043"/>
        <v>475621.45799999998</v>
      </c>
      <c r="EF164" s="48">
        <f t="shared" si="2063"/>
        <v>1.5</v>
      </c>
      <c r="EG164" s="62">
        <f t="shared" si="2064"/>
        <v>215.34</v>
      </c>
      <c r="EH164" s="62">
        <f t="shared" si="2044"/>
        <v>475621.45799999998</v>
      </c>
      <c r="EI164" s="48">
        <f t="shared" si="2065"/>
        <v>1.5</v>
      </c>
      <c r="EJ164" s="62">
        <f t="shared" si="2066"/>
        <v>0</v>
      </c>
      <c r="EK164" s="62">
        <f t="shared" si="2045"/>
        <v>0</v>
      </c>
      <c r="EL164" s="48">
        <f t="shared" si="2067"/>
        <v>0</v>
      </c>
      <c r="EM164" s="62">
        <f t="shared" si="2068"/>
        <v>112.5</v>
      </c>
      <c r="EN164" s="62">
        <f t="shared" si="2046"/>
        <v>248478.74999999997</v>
      </c>
      <c r="EO164" s="48">
        <f t="shared" si="2069"/>
        <v>1.5</v>
      </c>
      <c r="EP164" s="62">
        <f t="shared" si="2018"/>
        <v>317080.97199999995</v>
      </c>
      <c r="EQ164" s="62">
        <f t="shared" si="2018"/>
        <v>0</v>
      </c>
      <c r="ER164" s="62">
        <f t="shared" si="2018"/>
        <v>317080.97199999995</v>
      </c>
      <c r="ES164" s="62">
        <f t="shared" si="2017"/>
        <v>317080.97199999995</v>
      </c>
      <c r="ET164" s="62">
        <f t="shared" si="2017"/>
        <v>0</v>
      </c>
      <c r="EU164" s="62">
        <f t="shared" si="2017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47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 t="shared" si="1821"/>
        <v>1</v>
      </c>
      <c r="FS164" s="103" t="b">
        <f t="shared" si="1822"/>
        <v>1</v>
      </c>
      <c r="FT164" s="103" t="b">
        <f t="shared" si="1823"/>
        <v>1</v>
      </c>
      <c r="FU164" s="103" t="b">
        <f t="shared" si="1824"/>
        <v>0</v>
      </c>
      <c r="FV164" s="103" t="b">
        <f t="shared" si="1825"/>
        <v>1</v>
      </c>
      <c r="FW164" s="104" t="b">
        <f t="shared" si="1881"/>
        <v>0</v>
      </c>
      <c r="FX164" s="120" t="b">
        <f t="shared" si="2070"/>
        <v>1</v>
      </c>
      <c r="FY164" s="104" t="s">
        <v>491</v>
      </c>
      <c r="FZ164" s="104" t="b">
        <f t="shared" si="2071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72"/>
        <v>1</v>
      </c>
      <c r="GI164" s="8" t="b">
        <f t="shared" si="2073"/>
        <v>0</v>
      </c>
      <c r="GJ164" s="31" t="s">
        <v>203</v>
      </c>
    </row>
    <row r="165" spans="1:192" ht="45" hidden="1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21"/>
        <v>нет минмакс</v>
      </c>
      <c r="Q165" s="95">
        <v>739</v>
      </c>
      <c r="R165" s="95">
        <f t="shared" si="2048"/>
        <v>1235903.6000000001</v>
      </c>
      <c r="S165" s="131">
        <v>739</v>
      </c>
      <c r="T165" s="131">
        <v>1235903.6000000001</v>
      </c>
      <c r="U165" s="131">
        <f t="shared" si="2022"/>
        <v>1.5</v>
      </c>
      <c r="V165" s="113">
        <f t="shared" si="2049"/>
        <v>739</v>
      </c>
      <c r="W165" s="113">
        <f t="shared" si="2023"/>
        <v>1235903.6000000001</v>
      </c>
      <c r="X165" s="113">
        <f t="shared" si="2024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25"/>
        <v>0</v>
      </c>
      <c r="AF165" s="95">
        <f t="shared" si="2026"/>
        <v>0</v>
      </c>
      <c r="AG165" s="114">
        <v>0</v>
      </c>
      <c r="AH165" s="95">
        <f t="shared" si="2050"/>
        <v>739</v>
      </c>
      <c r="AI165" s="114">
        <f t="shared" si="2027"/>
        <v>1235903.6000000001</v>
      </c>
      <c r="AJ165" s="133">
        <f t="shared" si="2051"/>
        <v>0</v>
      </c>
      <c r="AK165" s="133">
        <f t="shared" si="2052"/>
        <v>0</v>
      </c>
      <c r="AL165" s="133">
        <f t="shared" si="2053"/>
        <v>5</v>
      </c>
      <c r="AM165" s="133">
        <f t="shared" si="2054"/>
        <v>0</v>
      </c>
      <c r="AN165" s="133" t="str">
        <f t="shared" si="2028"/>
        <v>нет оборота</v>
      </c>
      <c r="AO165" s="133" t="str">
        <f t="shared" si="2029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30"/>
        <v>Нет планов</v>
      </c>
      <c r="AW165" s="117">
        <f t="shared" si="2031"/>
        <v>1235903.6000000001</v>
      </c>
      <c r="AX165" s="14">
        <f>MONTH(BC165)-6</f>
        <v>2</v>
      </c>
      <c r="AY165" s="25">
        <f t="shared" si="2032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33"/>
        <v>0</v>
      </c>
      <c r="BG165" s="32">
        <v>0</v>
      </c>
      <c r="BH165" s="32">
        <f t="shared" si="2034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35"/>
        <v>0</v>
      </c>
      <c r="BR165" s="95">
        <f t="shared" si="2036"/>
        <v>739</v>
      </c>
      <c r="BS165" s="133">
        <f t="shared" si="2055"/>
        <v>739</v>
      </c>
      <c r="BT165" s="133">
        <f t="shared" si="2055"/>
        <v>739</v>
      </c>
      <c r="BU165" s="133">
        <f t="shared" si="2055"/>
        <v>739</v>
      </c>
      <c r="BV165" s="133">
        <f t="shared" si="2055"/>
        <v>739</v>
      </c>
      <c r="BW165" s="133">
        <f t="shared" si="2055"/>
        <v>739</v>
      </c>
      <c r="BX165" s="133">
        <f t="shared" si="2075"/>
        <v>739</v>
      </c>
      <c r="BY165" s="133">
        <f t="shared" si="2075"/>
        <v>739</v>
      </c>
      <c r="BZ165" s="133">
        <f t="shared" si="2075"/>
        <v>739</v>
      </c>
      <c r="CA165" s="133">
        <f t="shared" si="2075"/>
        <v>739</v>
      </c>
      <c r="CB165" s="133">
        <f t="shared" si="2075"/>
        <v>739</v>
      </c>
      <c r="CC165" s="133">
        <f t="shared" si="2075"/>
        <v>739</v>
      </c>
      <c r="CD165" s="133">
        <f t="shared" si="2075"/>
        <v>739</v>
      </c>
      <c r="CE165" s="133">
        <f t="shared" si="2075"/>
        <v>739</v>
      </c>
      <c r="CF165" s="133">
        <f t="shared" si="2075"/>
        <v>739</v>
      </c>
      <c r="CG165" s="133">
        <f t="shared" si="2075"/>
        <v>739</v>
      </c>
      <c r="CH165" s="133">
        <f t="shared" si="2075"/>
        <v>739</v>
      </c>
      <c r="CI165" s="133">
        <f t="shared" si="2075"/>
        <v>739</v>
      </c>
      <c r="CJ165" s="133">
        <f t="shared" si="2075"/>
        <v>739</v>
      </c>
      <c r="CK165" s="133">
        <f t="shared" si="2075"/>
        <v>739</v>
      </c>
      <c r="CL165" s="133">
        <f t="shared" si="2075"/>
        <v>739</v>
      </c>
      <c r="CM165" s="133">
        <f t="shared" si="2075"/>
        <v>739</v>
      </c>
      <c r="CN165" s="133">
        <f t="shared" si="2075"/>
        <v>739</v>
      </c>
      <c r="CO165" s="133">
        <f t="shared" si="2075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37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2013"/>
        <v>0</v>
      </c>
      <c r="DB165" s="4">
        <f t="shared" si="2014"/>
        <v>0</v>
      </c>
      <c r="DC165" s="4">
        <f t="shared" si="2015"/>
        <v>0</v>
      </c>
      <c r="DD165" s="136">
        <f t="shared" si="2016"/>
        <v>0</v>
      </c>
      <c r="DE165" s="31">
        <v>0</v>
      </c>
      <c r="DF165" s="31">
        <v>45</v>
      </c>
      <c r="DG165" s="31">
        <v>739</v>
      </c>
      <c r="DH165" s="48">
        <f t="shared" si="2057"/>
        <v>1.5</v>
      </c>
      <c r="DI165" s="62">
        <v>739</v>
      </c>
      <c r="DJ165" s="62">
        <v>1235901.5</v>
      </c>
      <c r="DK165" s="48">
        <f t="shared" si="2038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39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40"/>
        <v>1.5</v>
      </c>
      <c r="DV165" s="62">
        <v>0</v>
      </c>
      <c r="DW165" s="62">
        <v>0</v>
      </c>
      <c r="DX165" s="62">
        <f t="shared" si="2058"/>
        <v>0</v>
      </c>
      <c r="DY165" s="62">
        <f t="shared" si="2041"/>
        <v>0</v>
      </c>
      <c r="DZ165" s="48">
        <f t="shared" si="2059"/>
        <v>0</v>
      </c>
      <c r="EA165" s="62">
        <f t="shared" si="2060"/>
        <v>0</v>
      </c>
      <c r="EB165" s="62">
        <f t="shared" si="2042"/>
        <v>0</v>
      </c>
      <c r="EC165" s="48">
        <f t="shared" si="2061"/>
        <v>0</v>
      </c>
      <c r="ED165" s="62">
        <f t="shared" si="2062"/>
        <v>0</v>
      </c>
      <c r="EE165" s="62">
        <f t="shared" si="2043"/>
        <v>0</v>
      </c>
      <c r="EF165" s="48">
        <f t="shared" si="2063"/>
        <v>0</v>
      </c>
      <c r="EG165" s="62">
        <f t="shared" si="2064"/>
        <v>0</v>
      </c>
      <c r="EH165" s="62">
        <f t="shared" si="2044"/>
        <v>0</v>
      </c>
      <c r="EI165" s="48">
        <f t="shared" si="2065"/>
        <v>0</v>
      </c>
      <c r="EJ165" s="62">
        <f t="shared" si="2066"/>
        <v>0</v>
      </c>
      <c r="EK165" s="62">
        <f t="shared" si="2045"/>
        <v>0</v>
      </c>
      <c r="EL165" s="48">
        <f t="shared" si="2067"/>
        <v>0</v>
      </c>
      <c r="EM165" s="62">
        <f t="shared" si="2068"/>
        <v>0</v>
      </c>
      <c r="EN165" s="62">
        <f t="shared" si="2046"/>
        <v>0</v>
      </c>
      <c r="EO165" s="48">
        <f t="shared" si="2069"/>
        <v>0</v>
      </c>
      <c r="EP165" s="62">
        <f t="shared" si="2018"/>
        <v>0</v>
      </c>
      <c r="EQ165" s="62">
        <f t="shared" si="2018"/>
        <v>0</v>
      </c>
      <c r="ER165" s="62">
        <f t="shared" si="2018"/>
        <v>0</v>
      </c>
      <c r="ES165" s="62">
        <f t="shared" si="2017"/>
        <v>0</v>
      </c>
      <c r="ET165" s="62">
        <f t="shared" si="2017"/>
        <v>0</v>
      </c>
      <c r="EU165" s="62">
        <f t="shared" si="2017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47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 t="shared" si="1821"/>
        <v>1</v>
      </c>
      <c r="FS165" s="103" t="b">
        <f t="shared" si="1822"/>
        <v>1</v>
      </c>
      <c r="FT165" s="103" t="b">
        <f t="shared" si="1823"/>
        <v>1</v>
      </c>
      <c r="FU165" s="103" t="b">
        <f t="shared" si="1824"/>
        <v>0</v>
      </c>
      <c r="FV165" s="103" t="b">
        <f t="shared" si="1825"/>
        <v>1</v>
      </c>
      <c r="FW165" s="104" t="b">
        <f t="shared" si="1881"/>
        <v>0</v>
      </c>
      <c r="FX165" s="120" t="b">
        <f t="shared" si="2070"/>
        <v>1</v>
      </c>
      <c r="FY165" s="104" t="s">
        <v>214</v>
      </c>
      <c r="FZ165" s="104" t="b">
        <f t="shared" si="2071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72"/>
        <v>1</v>
      </c>
      <c r="GI165" s="8" t="b">
        <f t="shared" si="2073"/>
        <v>0</v>
      </c>
    </row>
    <row r="166" spans="1:192" ht="30" hidden="1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21"/>
        <v>меньше мин</v>
      </c>
      <c r="Q166" s="95">
        <v>36489.431613504887</v>
      </c>
      <c r="R166" s="95">
        <f t="shared" si="2048"/>
        <v>1804402.3932878168</v>
      </c>
      <c r="S166" s="131">
        <v>24488.308798789978</v>
      </c>
      <c r="T166" s="131">
        <v>1229313.101699257</v>
      </c>
      <c r="U166" s="131">
        <f t="shared" si="2022"/>
        <v>70</v>
      </c>
      <c r="V166" s="113">
        <f t="shared" si="2049"/>
        <v>41405.959976196289</v>
      </c>
      <c r="W166" s="113">
        <f t="shared" si="2023"/>
        <v>2047524.7208229066</v>
      </c>
      <c r="X166" s="113">
        <f t="shared" si="2024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25"/>
        <v>0</v>
      </c>
      <c r="AF166" s="95">
        <f t="shared" si="2026"/>
        <v>0</v>
      </c>
      <c r="AG166" s="114">
        <v>0</v>
      </c>
      <c r="AH166" s="95">
        <f t="shared" si="2050"/>
        <v>41405.959976196289</v>
      </c>
      <c r="AI166" s="114">
        <f t="shared" si="2027"/>
        <v>2047524.7208229066</v>
      </c>
      <c r="AJ166" s="133">
        <f t="shared" si="2051"/>
        <v>87097</v>
      </c>
      <c r="AK166" s="133">
        <f t="shared" si="2052"/>
        <v>253939</v>
      </c>
      <c r="AL166" s="133">
        <f t="shared" si="2053"/>
        <v>478333</v>
      </c>
      <c r="AM166" s="133">
        <f t="shared" si="2054"/>
        <v>634975.53</v>
      </c>
      <c r="AN166" s="133">
        <f t="shared" si="2028"/>
        <v>6.9418353551076155</v>
      </c>
      <c r="AO166" s="133" t="str">
        <f t="shared" si="2029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30"/>
        <v>0-01</v>
      </c>
      <c r="AW166" s="117">
        <f t="shared" si="2031"/>
        <v>0</v>
      </c>
      <c r="AX166" s="14"/>
      <c r="AY166" s="25">
        <f t="shared" si="2032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33"/>
        <v>0</v>
      </c>
      <c r="BG166" s="32">
        <v>0</v>
      </c>
      <c r="BH166" s="32">
        <f t="shared" si="2034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35"/>
        <v>105829.255</v>
      </c>
      <c r="BR166" s="95">
        <f t="shared" si="2036"/>
        <v>-40654.670023803716</v>
      </c>
      <c r="BS166" s="133">
        <f t="shared" si="2055"/>
        <v>-161307.74002380372</v>
      </c>
      <c r="BT166" s="133">
        <f t="shared" si="2055"/>
        <v>-265790.05002380372</v>
      </c>
      <c r="BU166" s="133">
        <f t="shared" si="2055"/>
        <v>-371302.7800238037</v>
      </c>
      <c r="BV166" s="133">
        <f t="shared" si="2055"/>
        <v>-488258.29002380371</v>
      </c>
      <c r="BW166" s="133">
        <f t="shared" si="2055"/>
        <v>-593569.57002380374</v>
      </c>
      <c r="BX166" s="133">
        <f t="shared" si="2075"/>
        <v>-699398.82502380374</v>
      </c>
      <c r="BY166" s="133">
        <f t="shared" si="2075"/>
        <v>-805228.08002380375</v>
      </c>
      <c r="BZ166" s="133">
        <f t="shared" si="2075"/>
        <v>-911057.33502380375</v>
      </c>
      <c r="CA166" s="133">
        <f t="shared" si="2075"/>
        <v>-1016886.5900238038</v>
      </c>
      <c r="CB166" s="133">
        <f t="shared" si="2075"/>
        <v>-1122715.8450238039</v>
      </c>
      <c r="CC166" s="133">
        <f t="shared" si="2075"/>
        <v>-1228545.1000238038</v>
      </c>
      <c r="CD166" s="133">
        <f t="shared" si="2075"/>
        <v>-1334374.3550238037</v>
      </c>
      <c r="CE166" s="133">
        <f t="shared" si="2075"/>
        <v>-1440203.6100238035</v>
      </c>
      <c r="CF166" s="133">
        <f t="shared" si="2075"/>
        <v>-1546032.8650238034</v>
      </c>
      <c r="CG166" s="133">
        <f t="shared" si="2075"/>
        <v>-1651862.1200238033</v>
      </c>
      <c r="CH166" s="133">
        <f t="shared" si="2075"/>
        <v>-1757691.3750238032</v>
      </c>
      <c r="CI166" s="133">
        <f t="shared" si="2075"/>
        <v>-1863520.6300238031</v>
      </c>
      <c r="CJ166" s="133">
        <f t="shared" si="2075"/>
        <v>-1969349.885023803</v>
      </c>
      <c r="CK166" s="133">
        <f t="shared" si="2075"/>
        <v>-2075179.1400238029</v>
      </c>
      <c r="CL166" s="133">
        <f t="shared" si="2075"/>
        <v>-2181008.3950238028</v>
      </c>
      <c r="CM166" s="133">
        <f t="shared" si="2075"/>
        <v>-2286837.6500238026</v>
      </c>
      <c r="CN166" s="133">
        <f t="shared" si="2075"/>
        <v>-2392666.9050238025</v>
      </c>
      <c r="CO166" s="133">
        <f t="shared" si="2075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37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2013"/>
        <v>0</v>
      </c>
      <c r="DB166" s="4">
        <f t="shared" si="2014"/>
        <v>0</v>
      </c>
      <c r="DC166" s="4">
        <f t="shared" si="2015"/>
        <v>0</v>
      </c>
      <c r="DD166" s="136">
        <f t="shared" si="2016"/>
        <v>0</v>
      </c>
      <c r="DE166" s="31">
        <v>0</v>
      </c>
      <c r="DF166" s="31">
        <v>30</v>
      </c>
      <c r="DG166" s="31">
        <v>9623.2560000000012</v>
      </c>
      <c r="DH166" s="48">
        <f t="shared" si="2057"/>
        <v>28</v>
      </c>
      <c r="DI166" s="62">
        <v>32287.679</v>
      </c>
      <c r="DJ166" s="62">
        <v>1614204.9549999998</v>
      </c>
      <c r="DK166" s="48">
        <f t="shared" si="2038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39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40"/>
        <v>99</v>
      </c>
      <c r="DV166" s="62">
        <v>74528.936999999947</v>
      </c>
      <c r="DW166" s="62">
        <v>3744826.6916966494</v>
      </c>
      <c r="DX166" s="62">
        <f t="shared" si="2058"/>
        <v>82060.630000000019</v>
      </c>
      <c r="DY166" s="62">
        <f t="shared" si="2041"/>
        <v>4057898.1535000014</v>
      </c>
      <c r="DZ166" s="48">
        <f t="shared" si="2059"/>
        <v>235</v>
      </c>
      <c r="EA166" s="62">
        <f t="shared" si="2060"/>
        <v>120653.07</v>
      </c>
      <c r="EB166" s="62">
        <f t="shared" si="2042"/>
        <v>5966294.3115000008</v>
      </c>
      <c r="EC166" s="48">
        <f t="shared" si="2061"/>
        <v>345</v>
      </c>
      <c r="ED166" s="62">
        <f t="shared" si="2062"/>
        <v>104482.31</v>
      </c>
      <c r="EE166" s="62">
        <f t="shared" si="2043"/>
        <v>5166650.2295000004</v>
      </c>
      <c r="EF166" s="48">
        <f t="shared" si="2063"/>
        <v>299</v>
      </c>
      <c r="EG166" s="62">
        <f t="shared" si="2064"/>
        <v>105512.73</v>
      </c>
      <c r="EH166" s="62">
        <f t="shared" si="2044"/>
        <v>5217604.4984999998</v>
      </c>
      <c r="EI166" s="48">
        <f t="shared" si="2065"/>
        <v>302</v>
      </c>
      <c r="EJ166" s="62">
        <f t="shared" si="2066"/>
        <v>116955.51</v>
      </c>
      <c r="EK166" s="62">
        <f t="shared" si="2045"/>
        <v>5783449.9694999997</v>
      </c>
      <c r="EL166" s="48">
        <f t="shared" si="2067"/>
        <v>335</v>
      </c>
      <c r="EM166" s="62">
        <f t="shared" si="2068"/>
        <v>105311.28</v>
      </c>
      <c r="EN166" s="62">
        <f t="shared" si="2046"/>
        <v>5207642.7960000001</v>
      </c>
      <c r="EO166" s="48">
        <f t="shared" si="2069"/>
        <v>301</v>
      </c>
      <c r="EP166" s="62">
        <f t="shared" si="2018"/>
        <v>4057898.1535000005</v>
      </c>
      <c r="EQ166" s="62">
        <f t="shared" si="2018"/>
        <v>5966294.3115000008</v>
      </c>
      <c r="ER166" s="62">
        <f t="shared" si="2018"/>
        <v>5166650.2295000004</v>
      </c>
      <c r="ES166" s="62">
        <f t="shared" si="2017"/>
        <v>5217604.4984999998</v>
      </c>
      <c r="ET166" s="62">
        <f t="shared" si="2017"/>
        <v>5783449.9694999997</v>
      </c>
      <c r="EU166" s="62">
        <f t="shared" si="2017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47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 t="shared" si="1821"/>
        <v>1</v>
      </c>
      <c r="FS166" s="103" t="b">
        <f t="shared" si="1822"/>
        <v>1</v>
      </c>
      <c r="FT166" s="103" t="b">
        <f t="shared" si="1823"/>
        <v>0</v>
      </c>
      <c r="FU166" s="103" t="b">
        <f t="shared" si="1824"/>
        <v>0</v>
      </c>
      <c r="FV166" s="103" t="b">
        <f t="shared" si="1825"/>
        <v>1</v>
      </c>
      <c r="FW166" s="104" t="b">
        <f t="shared" si="1881"/>
        <v>0</v>
      </c>
      <c r="FX166" s="120" t="b">
        <f t="shared" si="2070"/>
        <v>1</v>
      </c>
      <c r="FY166" s="104" t="s">
        <v>368</v>
      </c>
      <c r="FZ166" s="104" t="b">
        <f t="shared" si="2071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72"/>
        <v>1</v>
      </c>
      <c r="GI166" s="8" t="b">
        <f t="shared" si="2073"/>
        <v>0</v>
      </c>
      <c r="GJ166" s="31" t="s">
        <v>203</v>
      </c>
    </row>
    <row r="167" spans="1:192" hidden="1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21"/>
        <v>нет минмакс</v>
      </c>
      <c r="Q167" s="95">
        <v>139724</v>
      </c>
      <c r="R167" s="95">
        <f t="shared" si="2048"/>
        <v>269667.32</v>
      </c>
      <c r="S167" s="114">
        <v>598569</v>
      </c>
      <c r="T167" s="114">
        <v>1197138</v>
      </c>
      <c r="U167" s="131">
        <f t="shared" si="2022"/>
        <v>22</v>
      </c>
      <c r="V167" s="115">
        <f t="shared" si="2049"/>
        <v>135935</v>
      </c>
      <c r="W167" s="115">
        <f t="shared" si="2023"/>
        <v>262354.55</v>
      </c>
      <c r="X167" s="115">
        <f t="shared" si="2024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25"/>
        <v>0</v>
      </c>
      <c r="AF167" s="95">
        <f t="shared" si="2026"/>
        <v>0</v>
      </c>
      <c r="AG167" s="114">
        <v>0</v>
      </c>
      <c r="AH167" s="95">
        <f t="shared" si="2050"/>
        <v>135935</v>
      </c>
      <c r="AI167" s="114">
        <f t="shared" si="2027"/>
        <v>262354.55</v>
      </c>
      <c r="AJ167" s="114">
        <f t="shared" si="2051"/>
        <v>338040</v>
      </c>
      <c r="AK167" s="114">
        <f t="shared" si="2052"/>
        <v>1361508</v>
      </c>
      <c r="AL167" s="114">
        <f t="shared" si="2053"/>
        <v>2538115</v>
      </c>
      <c r="AM167" s="114">
        <f t="shared" si="2054"/>
        <v>3372723</v>
      </c>
      <c r="AN167" s="133">
        <f t="shared" si="2028"/>
        <v>31.94523238344803</v>
      </c>
      <c r="AO167" s="133" t="str">
        <f t="shared" si="2029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30"/>
        <v>0-01</v>
      </c>
      <c r="AW167" s="126">
        <f t="shared" si="2031"/>
        <v>0</v>
      </c>
      <c r="AX167" s="138"/>
      <c r="AY167" s="115">
        <f t="shared" si="2032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33"/>
        <v>0</v>
      </c>
      <c r="BG167" s="32">
        <v>0</v>
      </c>
      <c r="BH167" s="32">
        <f t="shared" si="2034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35"/>
        <v>562120.5</v>
      </c>
      <c r="BR167" s="95">
        <f t="shared" si="2036"/>
        <v>-494118</v>
      </c>
      <c r="BS167" s="133">
        <f t="shared" si="2055"/>
        <v>-1058503</v>
      </c>
      <c r="BT167" s="133">
        <f t="shared" si="2055"/>
        <v>-1627876</v>
      </c>
      <c r="BU167" s="133">
        <f t="shared" si="2055"/>
        <v>-2154015</v>
      </c>
      <c r="BV167" s="133">
        <f t="shared" si="2055"/>
        <v>-2743317</v>
      </c>
      <c r="BW167" s="133">
        <f t="shared" si="2055"/>
        <v>-3232999</v>
      </c>
      <c r="BX167" s="133">
        <f t="shared" si="2075"/>
        <v>-3795119.5</v>
      </c>
      <c r="BY167" s="133">
        <f t="shared" si="2075"/>
        <v>-4357240</v>
      </c>
      <c r="BZ167" s="133">
        <f t="shared" si="2075"/>
        <v>-4919360.5</v>
      </c>
      <c r="CA167" s="133">
        <f t="shared" si="2075"/>
        <v>-5481481</v>
      </c>
      <c r="CB167" s="133">
        <f t="shared" si="2075"/>
        <v>-6043601.5</v>
      </c>
      <c r="CC167" s="133">
        <f t="shared" si="2075"/>
        <v>-6605722</v>
      </c>
      <c r="CD167" s="133">
        <f t="shared" si="2075"/>
        <v>-7167842.5</v>
      </c>
      <c r="CE167" s="133">
        <f t="shared" si="2075"/>
        <v>-7729963</v>
      </c>
      <c r="CF167" s="133">
        <f t="shared" si="2075"/>
        <v>-8292083.5</v>
      </c>
      <c r="CG167" s="133">
        <f t="shared" si="2075"/>
        <v>-8854204</v>
      </c>
      <c r="CH167" s="133">
        <f t="shared" si="2075"/>
        <v>-9416324.5</v>
      </c>
      <c r="CI167" s="133">
        <f t="shared" si="2075"/>
        <v>-9978445</v>
      </c>
      <c r="CJ167" s="133">
        <f t="shared" si="2075"/>
        <v>-10540565.5</v>
      </c>
      <c r="CK167" s="133">
        <f t="shared" si="2075"/>
        <v>-11102686</v>
      </c>
      <c r="CL167" s="133">
        <f t="shared" si="2075"/>
        <v>-11664806.5</v>
      </c>
      <c r="CM167" s="133">
        <f t="shared" si="2075"/>
        <v>-12226927</v>
      </c>
      <c r="CN167" s="133">
        <f t="shared" si="2075"/>
        <v>-12789047.5</v>
      </c>
      <c r="CO167" s="133">
        <f t="shared" si="2075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37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76">IFERROR(CZ167/CY167,0)</f>
        <v>0</v>
      </c>
      <c r="DB167" s="4">
        <f t="shared" ref="DB167:DB174" si="2077">CY167*FH167</f>
        <v>0</v>
      </c>
      <c r="DC167" s="4">
        <f t="shared" ref="DC167:DC174" si="2078">CZ167*FH167</f>
        <v>2084.4</v>
      </c>
      <c r="DD167" s="136">
        <f t="shared" ref="DD167:DD174" si="2079">IFERROR(DC167/DB167,0)</f>
        <v>0</v>
      </c>
      <c r="DE167" s="31">
        <v>0</v>
      </c>
      <c r="DG167" s="31">
        <v>0</v>
      </c>
      <c r="DH167" s="48">
        <f t="shared" si="2057"/>
        <v>0</v>
      </c>
      <c r="DI167" s="62">
        <v>401611.22600000002</v>
      </c>
      <c r="DJ167" s="62">
        <v>817527.35700000008</v>
      </c>
      <c r="DK167" s="48">
        <f t="shared" si="2038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39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40"/>
        <v>23</v>
      </c>
      <c r="DV167" s="62">
        <v>488505</v>
      </c>
      <c r="DW167" s="62">
        <v>985964.30136076256</v>
      </c>
      <c r="DX167" s="62">
        <f t="shared" si="2058"/>
        <v>0</v>
      </c>
      <c r="DY167" s="62">
        <f t="shared" si="2041"/>
        <v>0</v>
      </c>
      <c r="DZ167" s="48">
        <f t="shared" si="2059"/>
        <v>0</v>
      </c>
      <c r="EA167" s="62">
        <f t="shared" si="2060"/>
        <v>0</v>
      </c>
      <c r="EB167" s="62">
        <f t="shared" si="2042"/>
        <v>0</v>
      </c>
      <c r="EC167" s="48">
        <f t="shared" si="2061"/>
        <v>0</v>
      </c>
      <c r="ED167" s="62">
        <f t="shared" si="2062"/>
        <v>0</v>
      </c>
      <c r="EE167" s="62">
        <f t="shared" si="2043"/>
        <v>0</v>
      </c>
      <c r="EF167" s="48">
        <f t="shared" si="2063"/>
        <v>0</v>
      </c>
      <c r="EG167" s="62">
        <f t="shared" si="2064"/>
        <v>0</v>
      </c>
      <c r="EH167" s="62">
        <f t="shared" si="2044"/>
        <v>0</v>
      </c>
      <c r="EI167" s="48">
        <f t="shared" si="2065"/>
        <v>0</v>
      </c>
      <c r="EJ167" s="62">
        <f t="shared" si="2066"/>
        <v>0</v>
      </c>
      <c r="EK167" s="62">
        <f t="shared" si="2045"/>
        <v>0</v>
      </c>
      <c r="EL167" s="48">
        <f t="shared" si="2067"/>
        <v>0</v>
      </c>
      <c r="EM167" s="62">
        <f t="shared" si="2068"/>
        <v>0</v>
      </c>
      <c r="EN167" s="62">
        <f t="shared" si="2046"/>
        <v>0</v>
      </c>
      <c r="EO167" s="48">
        <f t="shared" si="2069"/>
        <v>0</v>
      </c>
      <c r="EP167" s="62">
        <f t="shared" si="2018"/>
        <v>1223315.06</v>
      </c>
      <c r="EQ167" s="62">
        <f t="shared" si="2018"/>
        <v>1089263.05</v>
      </c>
      <c r="ER167" s="62">
        <f t="shared" si="2018"/>
        <v>1098889.8899999999</v>
      </c>
      <c r="ES167" s="62">
        <f t="shared" si="2017"/>
        <v>1015448.27</v>
      </c>
      <c r="ET167" s="62">
        <f t="shared" si="2017"/>
        <v>1137352.8599999999</v>
      </c>
      <c r="EU167" s="62">
        <f t="shared" si="2017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47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 t="shared" si="1821"/>
        <v>1</v>
      </c>
      <c r="FS167" s="120" t="b">
        <f t="shared" si="1822"/>
        <v>1</v>
      </c>
      <c r="FT167" s="120" t="b">
        <f t="shared" si="1823"/>
        <v>1</v>
      </c>
      <c r="FU167" s="120" t="b">
        <f t="shared" si="1824"/>
        <v>1</v>
      </c>
      <c r="FV167" s="120" t="b">
        <f t="shared" si="1825"/>
        <v>1</v>
      </c>
      <c r="FW167" s="104" t="b">
        <f t="shared" si="1881"/>
        <v>0</v>
      </c>
      <c r="FX167" s="120" t="b">
        <f t="shared" si="2070"/>
        <v>1</v>
      </c>
      <c r="FY167" s="104" t="s">
        <v>368</v>
      </c>
      <c r="FZ167" s="104" t="b">
        <f t="shared" si="2071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72"/>
        <v>1</v>
      </c>
      <c r="GI167" s="8" t="b">
        <f t="shared" si="2073"/>
        <v>0</v>
      </c>
      <c r="GJ167" s="31" t="s">
        <v>203</v>
      </c>
    </row>
    <row r="168" spans="1:192" hidden="1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21"/>
        <v>нет минмакс</v>
      </c>
      <c r="Q168" s="95">
        <v>142204</v>
      </c>
      <c r="R168" s="95">
        <f t="shared" si="2048"/>
        <v>819095.03999999992</v>
      </c>
      <c r="S168" s="114">
        <v>174285</v>
      </c>
      <c r="T168" s="114">
        <v>1063138.5</v>
      </c>
      <c r="U168" s="131">
        <f t="shared" si="2022"/>
        <v>89</v>
      </c>
      <c r="V168" s="115">
        <f t="shared" si="2049"/>
        <v>77571</v>
      </c>
      <c r="W168" s="115">
        <f t="shared" si="2023"/>
        <v>446808.95999999996</v>
      </c>
      <c r="X168" s="115">
        <f t="shared" si="2024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25"/>
        <v>0</v>
      </c>
      <c r="AF168" s="95">
        <f t="shared" si="2026"/>
        <v>0</v>
      </c>
      <c r="AG168" s="114">
        <v>0</v>
      </c>
      <c r="AH168" s="95">
        <f t="shared" si="2050"/>
        <v>77571</v>
      </c>
      <c r="AI168" s="114">
        <f t="shared" si="2027"/>
        <v>446808.95999999996</v>
      </c>
      <c r="AJ168" s="114">
        <f t="shared" si="2051"/>
        <v>118390</v>
      </c>
      <c r="AK168" s="114">
        <f t="shared" si="2052"/>
        <v>337078</v>
      </c>
      <c r="AL168" s="114">
        <f t="shared" si="2053"/>
        <v>729783</v>
      </c>
      <c r="AM168" s="114">
        <f t="shared" si="2054"/>
        <v>745633</v>
      </c>
      <c r="AN168" s="133">
        <f t="shared" si="2028"/>
        <v>42.073379262988624</v>
      </c>
      <c r="AO168" s="133" t="str">
        <f t="shared" si="2029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30"/>
        <v>0-02</v>
      </c>
      <c r="AW168" s="126">
        <f t="shared" si="2031"/>
        <v>0</v>
      </c>
      <c r="AX168" s="138"/>
      <c r="AY168" s="115">
        <f t="shared" si="2032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33"/>
        <v>0</v>
      </c>
      <c r="BG168" s="32">
        <v>0</v>
      </c>
      <c r="BH168" s="32">
        <f t="shared" si="2034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35"/>
        <v>124272.16666666667</v>
      </c>
      <c r="BR168" s="95">
        <f t="shared" si="2036"/>
        <v>13604</v>
      </c>
      <c r="BS168" s="133">
        <f t="shared" si="2055"/>
        <v>-84346</v>
      </c>
      <c r="BT168" s="133">
        <f t="shared" si="2055"/>
        <v>-169370</v>
      </c>
      <c r="BU168" s="133">
        <f t="shared" si="2055"/>
        <v>-293674</v>
      </c>
      <c r="BV168" s="133">
        <f t="shared" si="2055"/>
        <v>-458823</v>
      </c>
      <c r="BW168" s="133">
        <f t="shared" si="2055"/>
        <v>-603429</v>
      </c>
      <c r="BX168" s="133">
        <f t="shared" ref="BX168:CO169" si="2080">BW168-$BQ168</f>
        <v>-727701.16666666663</v>
      </c>
      <c r="BY168" s="133">
        <f t="shared" si="2080"/>
        <v>-851973.33333333326</v>
      </c>
      <c r="BZ168" s="133">
        <f t="shared" si="2080"/>
        <v>-976245.49999999988</v>
      </c>
      <c r="CA168" s="133">
        <f t="shared" si="2080"/>
        <v>-1100517.6666666665</v>
      </c>
      <c r="CB168" s="133">
        <f t="shared" si="2080"/>
        <v>-1224789.8333333333</v>
      </c>
      <c r="CC168" s="133">
        <f t="shared" si="2080"/>
        <v>-1349062</v>
      </c>
      <c r="CD168" s="133">
        <f t="shared" si="2080"/>
        <v>-1473334.1666666667</v>
      </c>
      <c r="CE168" s="133">
        <f t="shared" si="2080"/>
        <v>-1597606.3333333335</v>
      </c>
      <c r="CF168" s="133">
        <f t="shared" si="2080"/>
        <v>-1721878.5000000002</v>
      </c>
      <c r="CG168" s="133">
        <f t="shared" si="2080"/>
        <v>-1846150.666666667</v>
      </c>
      <c r="CH168" s="133">
        <f t="shared" si="2080"/>
        <v>-1970422.8333333337</v>
      </c>
      <c r="CI168" s="133">
        <f t="shared" si="2080"/>
        <v>-2094695.0000000005</v>
      </c>
      <c r="CJ168" s="133">
        <f t="shared" si="2080"/>
        <v>-2218967.166666667</v>
      </c>
      <c r="CK168" s="133">
        <f t="shared" si="2080"/>
        <v>-2343239.3333333335</v>
      </c>
      <c r="CL168" s="133">
        <f t="shared" si="2080"/>
        <v>-2467511.5</v>
      </c>
      <c r="CM168" s="133">
        <f t="shared" si="2080"/>
        <v>-2591783.6666666665</v>
      </c>
      <c r="CN168" s="133">
        <f t="shared" si="2080"/>
        <v>-2716055.833333333</v>
      </c>
      <c r="CO168" s="133">
        <f t="shared" si="2080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37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76"/>
        <v>0</v>
      </c>
      <c r="DB168" s="4">
        <f t="shared" si="2077"/>
        <v>0</v>
      </c>
      <c r="DC168" s="4">
        <f t="shared" si="2078"/>
        <v>0</v>
      </c>
      <c r="DD168" s="136">
        <f t="shared" si="2079"/>
        <v>0</v>
      </c>
      <c r="DE168" s="31">
        <v>0</v>
      </c>
      <c r="DG168" s="31">
        <v>0</v>
      </c>
      <c r="DH168" s="48">
        <f t="shared" si="2057"/>
        <v>0</v>
      </c>
      <c r="DI168" s="62">
        <v>175849.03200000001</v>
      </c>
      <c r="DJ168" s="62">
        <v>1030883.6309999999</v>
      </c>
      <c r="DK168" s="48">
        <f t="shared" si="2038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39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40"/>
        <v>91</v>
      </c>
      <c r="DV168" s="62">
        <v>116011</v>
      </c>
      <c r="DW168" s="62">
        <v>712980.70625633677</v>
      </c>
      <c r="DX168" s="62">
        <f t="shared" si="2058"/>
        <v>0</v>
      </c>
      <c r="DY168" s="62">
        <f t="shared" si="2041"/>
        <v>0</v>
      </c>
      <c r="DZ168" s="48">
        <f t="shared" si="2059"/>
        <v>0</v>
      </c>
      <c r="EA168" s="62">
        <f t="shared" si="2060"/>
        <v>0</v>
      </c>
      <c r="EB168" s="62">
        <f t="shared" si="2042"/>
        <v>0</v>
      </c>
      <c r="EC168" s="48">
        <f t="shared" si="2061"/>
        <v>0</v>
      </c>
      <c r="ED168" s="62">
        <f t="shared" si="2062"/>
        <v>0</v>
      </c>
      <c r="EE168" s="62">
        <f t="shared" si="2043"/>
        <v>0</v>
      </c>
      <c r="EF168" s="48">
        <f t="shared" si="2063"/>
        <v>0</v>
      </c>
      <c r="EG168" s="62">
        <f t="shared" si="2064"/>
        <v>0</v>
      </c>
      <c r="EH168" s="62">
        <f t="shared" si="2044"/>
        <v>0</v>
      </c>
      <c r="EI168" s="48">
        <f t="shared" si="2065"/>
        <v>0</v>
      </c>
      <c r="EJ168" s="62">
        <f t="shared" si="2066"/>
        <v>0</v>
      </c>
      <c r="EK168" s="62">
        <f t="shared" si="2045"/>
        <v>0</v>
      </c>
      <c r="EL168" s="48">
        <f t="shared" si="2067"/>
        <v>0</v>
      </c>
      <c r="EM168" s="62">
        <f t="shared" si="2068"/>
        <v>0</v>
      </c>
      <c r="EN168" s="62">
        <f t="shared" si="2046"/>
        <v>0</v>
      </c>
      <c r="EO168" s="48">
        <f t="shared" si="2069"/>
        <v>0</v>
      </c>
      <c r="EP168" s="62">
        <f t="shared" ref="EP168:EU173" si="2081">BK168*$FH168</f>
        <v>740736</v>
      </c>
      <c r="EQ168" s="62">
        <f t="shared" si="2081"/>
        <v>564192</v>
      </c>
      <c r="ER168" s="62">
        <f t="shared" si="2081"/>
        <v>489738.23999999999</v>
      </c>
      <c r="ES168" s="62">
        <f t="shared" si="2081"/>
        <v>715991.03999999992</v>
      </c>
      <c r="ET168" s="62">
        <f t="shared" si="2081"/>
        <v>951258.24</v>
      </c>
      <c r="EU168" s="62">
        <f t="shared" si="2081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47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 t="shared" si="1821"/>
        <v>1</v>
      </c>
      <c r="FS168" s="120" t="b">
        <f t="shared" si="1822"/>
        <v>1</v>
      </c>
      <c r="FT168" s="120" t="b">
        <f t="shared" si="1823"/>
        <v>1</v>
      </c>
      <c r="FU168" s="120" t="b">
        <f t="shared" si="1824"/>
        <v>1</v>
      </c>
      <c r="FV168" s="120" t="b">
        <f t="shared" si="1825"/>
        <v>1</v>
      </c>
      <c r="FW168" s="104" t="b">
        <f t="shared" si="1881"/>
        <v>0</v>
      </c>
      <c r="FX168" s="120" t="b">
        <f t="shared" si="2070"/>
        <v>1</v>
      </c>
      <c r="FY168" s="104" t="s">
        <v>368</v>
      </c>
      <c r="FZ168" s="104" t="b">
        <f t="shared" si="2071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72"/>
        <v>1</v>
      </c>
      <c r="GI168" s="8" t="b">
        <f t="shared" si="2073"/>
        <v>0</v>
      </c>
      <c r="GJ168" s="31" t="s">
        <v>203</v>
      </c>
    </row>
    <row r="169" spans="1:192" ht="30" hidden="1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82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48"/>
        <v>397504.3669873047</v>
      </c>
      <c r="S169" s="114">
        <v>7128.1722412109375</v>
      </c>
      <c r="T169" s="114">
        <v>1052973.6034716796</v>
      </c>
      <c r="U169" s="131">
        <f t="shared" ref="U169:U178" si="2083">IFERROR(ROUNDUP(S169/$EX169,0)*$EY169,0)</f>
        <v>0</v>
      </c>
      <c r="V169" s="115">
        <f t="shared" si="2049"/>
        <v>8172.201904296875</v>
      </c>
      <c r="W169" s="115">
        <f t="shared" ref="W169:W178" si="2084">V169*FH169</f>
        <v>1114443.1736889649</v>
      </c>
      <c r="X169" s="115">
        <f t="shared" ref="X169:X178" si="2085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86">AA169*FH169</f>
        <v>0</v>
      </c>
      <c r="AF169" s="95">
        <f t="shared" ref="AF169:AF178" si="2087">AB169*FH169</f>
        <v>0</v>
      </c>
      <c r="AG169" s="114">
        <v>0</v>
      </c>
      <c r="AH169" s="95">
        <f t="shared" si="2050"/>
        <v>8172.201904296875</v>
      </c>
      <c r="AI169" s="114">
        <f t="shared" ref="AI169:AI178" si="2088">IF(AH169&gt;0,AH169*FH169,0)</f>
        <v>1114443.1736889649</v>
      </c>
      <c r="AJ169" s="114">
        <f t="shared" si="2051"/>
        <v>58647</v>
      </c>
      <c r="AK169" s="114">
        <f t="shared" si="2052"/>
        <v>189246</v>
      </c>
      <c r="AL169" s="114">
        <f t="shared" si="2053"/>
        <v>289351</v>
      </c>
      <c r="AM169" s="114">
        <f t="shared" si="2054"/>
        <v>0</v>
      </c>
      <c r="AN169" s="133" t="str">
        <f t="shared" ref="AN169:AN178" si="2089">IFERROR(S169/BQ169*30,"нет оборота")</f>
        <v>нет оборота</v>
      </c>
      <c r="AO169" s="133" t="str">
        <f t="shared" ref="AO169:AO178" si="2090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91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92">IF(AT169="Да",W169,0)</f>
        <v>1114443.1736889649</v>
      </c>
      <c r="AX169" s="138"/>
      <c r="AY169" s="115">
        <f t="shared" ref="AY169:AY178" si="2093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94">BE169*FH169</f>
        <v>0</v>
      </c>
      <c r="BG169" s="32">
        <v>0</v>
      </c>
      <c r="BH169" s="32">
        <f t="shared" ref="BH169:BH178" si="2095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96">IF(COUNTIF(BK169:BP169,"&gt;0")=0,0,SUM(BK169:BP169)/COUNTIF(BK169:BP169,"&gt;0"))</f>
        <v>0</v>
      </c>
      <c r="BR169" s="95">
        <f t="shared" ref="BR169:BR178" si="2097">IF(OR(Q169=0,SUM(BK169:BP169)=0,V169&gt;Q169),V169-BK169,Q169-BK169)</f>
        <v>8172.201904296875</v>
      </c>
      <c r="BS169" s="133">
        <f t="shared" ref="BS169:BW175" si="2098">BR169-BL169</f>
        <v>8172.201904296875</v>
      </c>
      <c r="BT169" s="133">
        <f t="shared" si="2098"/>
        <v>8172.201904296875</v>
      </c>
      <c r="BU169" s="133">
        <f t="shared" si="2098"/>
        <v>8172.201904296875</v>
      </c>
      <c r="BV169" s="133">
        <f t="shared" si="2098"/>
        <v>8172.201904296875</v>
      </c>
      <c r="BW169" s="133">
        <f t="shared" si="2098"/>
        <v>8172.201904296875</v>
      </c>
      <c r="BX169" s="133">
        <f t="shared" si="2080"/>
        <v>8172.201904296875</v>
      </c>
      <c r="BY169" s="133">
        <f t="shared" si="2080"/>
        <v>8172.201904296875</v>
      </c>
      <c r="BZ169" s="133">
        <f t="shared" si="2080"/>
        <v>8172.201904296875</v>
      </c>
      <c r="CA169" s="133">
        <f t="shared" ref="CA169:CO169" si="2099">BZ169-$BQ169</f>
        <v>8172.201904296875</v>
      </c>
      <c r="CB169" s="133">
        <f t="shared" si="2099"/>
        <v>8172.201904296875</v>
      </c>
      <c r="CC169" s="133">
        <f t="shared" si="2099"/>
        <v>8172.201904296875</v>
      </c>
      <c r="CD169" s="133">
        <f t="shared" si="2099"/>
        <v>8172.201904296875</v>
      </c>
      <c r="CE169" s="133">
        <f t="shared" si="2099"/>
        <v>8172.201904296875</v>
      </c>
      <c r="CF169" s="133">
        <f t="shared" si="2099"/>
        <v>8172.201904296875</v>
      </c>
      <c r="CG169" s="133">
        <f t="shared" si="2099"/>
        <v>8172.201904296875</v>
      </c>
      <c r="CH169" s="133">
        <f t="shared" si="2099"/>
        <v>8172.201904296875</v>
      </c>
      <c r="CI169" s="133">
        <f t="shared" si="2099"/>
        <v>8172.201904296875</v>
      </c>
      <c r="CJ169" s="133">
        <f t="shared" si="2099"/>
        <v>8172.201904296875</v>
      </c>
      <c r="CK169" s="133">
        <f t="shared" si="2099"/>
        <v>8172.201904296875</v>
      </c>
      <c r="CL169" s="133">
        <f t="shared" si="2099"/>
        <v>8172.201904296875</v>
      </c>
      <c r="CM169" s="133">
        <f t="shared" si="2099"/>
        <v>8172.201904296875</v>
      </c>
      <c r="CN169" s="133">
        <f t="shared" si="2099"/>
        <v>8172.201904296875</v>
      </c>
      <c r="CO169" s="133">
        <f t="shared" si="2099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100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76"/>
        <v>0</v>
      </c>
      <c r="DB169" s="4">
        <f t="shared" si="2077"/>
        <v>0</v>
      </c>
      <c r="DC169" s="4">
        <f t="shared" si="2078"/>
        <v>0</v>
      </c>
      <c r="DD169" s="136">
        <f t="shared" si="2079"/>
        <v>0</v>
      </c>
      <c r="DE169" s="31">
        <v>0</v>
      </c>
      <c r="DG169" s="31">
        <v>0</v>
      </c>
      <c r="DH169" s="48">
        <f t="shared" si="2057"/>
        <v>0</v>
      </c>
      <c r="DI169" s="62">
        <v>8063.6940000000004</v>
      </c>
      <c r="DJ169" s="62">
        <v>1161619.3969999999</v>
      </c>
      <c r="DK169" s="48">
        <f t="shared" ref="DK169:DK178" si="2101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102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103">IFERROR(ROUNDUP(DS169/$EX169,0)*$EY169,0)</f>
        <v>0</v>
      </c>
      <c r="DV169" s="62">
        <v>60586.381999999991</v>
      </c>
      <c r="DW169" s="62">
        <v>8817162.5873018317</v>
      </c>
      <c r="DX169" s="62">
        <f t="shared" si="2058"/>
        <v>0</v>
      </c>
      <c r="DY169" s="62">
        <f t="shared" ref="DY169:DY178" si="2104">DX169*$FH169</f>
        <v>0</v>
      </c>
      <c r="DZ169" s="48">
        <f t="shared" si="2059"/>
        <v>0</v>
      </c>
      <c r="EA169" s="62">
        <f t="shared" si="2060"/>
        <v>0</v>
      </c>
      <c r="EB169" s="62">
        <f t="shared" ref="EB169:EB178" si="2105">EA169*$FH169</f>
        <v>0</v>
      </c>
      <c r="EC169" s="48">
        <f t="shared" si="2061"/>
        <v>0</v>
      </c>
      <c r="ED169" s="62">
        <f t="shared" si="2062"/>
        <v>0</v>
      </c>
      <c r="EE169" s="62">
        <f t="shared" ref="EE169:EE178" si="2106">ED169*$FH169</f>
        <v>0</v>
      </c>
      <c r="EF169" s="48">
        <f t="shared" si="2063"/>
        <v>0</v>
      </c>
      <c r="EG169" s="62">
        <f t="shared" si="2064"/>
        <v>0</v>
      </c>
      <c r="EH169" s="62">
        <f t="shared" ref="EH169:EH178" si="2107">EG169*$FH169</f>
        <v>0</v>
      </c>
      <c r="EI169" s="48">
        <f t="shared" si="2065"/>
        <v>0</v>
      </c>
      <c r="EJ169" s="62">
        <f t="shared" si="2066"/>
        <v>0</v>
      </c>
      <c r="EK169" s="62">
        <f t="shared" ref="EK169:EK178" si="2108">EJ169*$FH169</f>
        <v>0</v>
      </c>
      <c r="EL169" s="48">
        <f t="shared" si="2067"/>
        <v>0</v>
      </c>
      <c r="EM169" s="62">
        <f t="shared" si="2068"/>
        <v>0</v>
      </c>
      <c r="EN169" s="62">
        <f t="shared" ref="EN169:EN178" si="2109">EM169*$FH169</f>
        <v>0</v>
      </c>
      <c r="EO169" s="48">
        <f t="shared" si="2069"/>
        <v>0</v>
      </c>
      <c r="EP169" s="62">
        <f t="shared" si="2081"/>
        <v>0</v>
      </c>
      <c r="EQ169" s="62">
        <f t="shared" si="2081"/>
        <v>0</v>
      </c>
      <c r="ER169" s="62">
        <f t="shared" si="2081"/>
        <v>0</v>
      </c>
      <c r="ES169" s="62">
        <f t="shared" si="2081"/>
        <v>0</v>
      </c>
      <c r="ET169" s="62">
        <f t="shared" si="2081"/>
        <v>0</v>
      </c>
      <c r="EU169" s="62">
        <f t="shared" si="2081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110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 t="shared" si="1821"/>
        <v>1</v>
      </c>
      <c r="FS169" s="120" t="b">
        <f t="shared" si="1822"/>
        <v>1</v>
      </c>
      <c r="FT169" s="120" t="b">
        <f t="shared" si="1823"/>
        <v>1</v>
      </c>
      <c r="FU169" s="120" t="b">
        <f t="shared" si="1824"/>
        <v>1</v>
      </c>
      <c r="FV169" s="120" t="b">
        <f t="shared" si="1825"/>
        <v>1</v>
      </c>
      <c r="FW169" s="104" t="b">
        <f t="shared" si="1881"/>
        <v>0</v>
      </c>
      <c r="FX169" s="120" t="b">
        <f t="shared" si="2070"/>
        <v>1</v>
      </c>
      <c r="FY169" s="104" t="s">
        <v>368</v>
      </c>
      <c r="FZ169" s="104" t="b">
        <f t="shared" si="2071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72"/>
        <v>1</v>
      </c>
      <c r="GI169" s="8" t="b">
        <f t="shared" si="2073"/>
        <v>0</v>
      </c>
      <c r="GJ169" s="31" t="s">
        <v>203</v>
      </c>
    </row>
    <row r="170" spans="1:192" ht="30" hidden="1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82"/>
        <v>нет минмакс</v>
      </c>
      <c r="Q170" s="95">
        <v>6119.3659057617188</v>
      </c>
      <c r="R170" s="95">
        <f t="shared" si="2048"/>
        <v>952601.69054992672</v>
      </c>
      <c r="S170" s="114">
        <v>6162.8368225097656</v>
      </c>
      <c r="T170" s="114">
        <v>1038191.4911199951</v>
      </c>
      <c r="U170" s="131">
        <f t="shared" si="2083"/>
        <v>0</v>
      </c>
      <c r="V170" s="115">
        <f t="shared" ref="V170:V178" si="2111">SUM(Z170:AD170)</f>
        <v>5396.06591796875</v>
      </c>
      <c r="W170" s="115">
        <f t="shared" si="2084"/>
        <v>840005.58145019528</v>
      </c>
      <c r="X170" s="115">
        <f t="shared" si="2085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86"/>
        <v>0</v>
      </c>
      <c r="AF170" s="95">
        <f t="shared" si="2087"/>
        <v>0</v>
      </c>
      <c r="AG170" s="114">
        <v>0</v>
      </c>
      <c r="AH170" s="95">
        <f t="shared" ref="AH170:AH178" si="2112">V170-AG170</f>
        <v>5396.06591796875</v>
      </c>
      <c r="AI170" s="114">
        <f t="shared" si="2088"/>
        <v>840005.58145019528</v>
      </c>
      <c r="AJ170" s="114">
        <f t="shared" ref="AJ170:AJ178" si="2113">CU170</f>
        <v>29733</v>
      </c>
      <c r="AK170" s="114">
        <f t="shared" si="2052"/>
        <v>134782</v>
      </c>
      <c r="AL170" s="114">
        <f t="shared" ref="AL170:AL178" si="2114">SUM(CP170:CU170)</f>
        <v>289803</v>
      </c>
      <c r="AM170" s="114">
        <f t="shared" ref="AM170:AM178" si="2115">SUM(BK170:BP170)</f>
        <v>0</v>
      </c>
      <c r="AN170" s="133" t="str">
        <f t="shared" si="2089"/>
        <v>нет оборота</v>
      </c>
      <c r="AO170" s="133" t="str">
        <f t="shared" si="2090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91"/>
        <v>Нет планов</v>
      </c>
      <c r="AW170" s="126">
        <f t="shared" si="2092"/>
        <v>840005.58145019528</v>
      </c>
      <c r="AX170" s="138"/>
      <c r="AY170" s="115">
        <f t="shared" si="2093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94"/>
        <v>0</v>
      </c>
      <c r="BG170" s="32">
        <v>0</v>
      </c>
      <c r="BH170" s="32">
        <f t="shared" si="2095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96"/>
        <v>0</v>
      </c>
      <c r="BR170" s="95">
        <f t="shared" si="2097"/>
        <v>5396.06591796875</v>
      </c>
      <c r="BS170" s="133">
        <f t="shared" si="2098"/>
        <v>5396.06591796875</v>
      </c>
      <c r="BT170" s="133">
        <f t="shared" si="2098"/>
        <v>5396.06591796875</v>
      </c>
      <c r="BU170" s="133">
        <f t="shared" si="2098"/>
        <v>5396.06591796875</v>
      </c>
      <c r="BV170" s="133">
        <f t="shared" si="2098"/>
        <v>5396.06591796875</v>
      </c>
      <c r="BW170" s="133">
        <f t="shared" si="2098"/>
        <v>5396.06591796875</v>
      </c>
      <c r="BX170" s="133">
        <f t="shared" ref="BX170:CO172" si="2116">BW170-$BQ170</f>
        <v>5396.06591796875</v>
      </c>
      <c r="BY170" s="133">
        <f t="shared" si="2116"/>
        <v>5396.06591796875</v>
      </c>
      <c r="BZ170" s="133">
        <f t="shared" si="2116"/>
        <v>5396.06591796875</v>
      </c>
      <c r="CA170" s="133">
        <f t="shared" si="2116"/>
        <v>5396.06591796875</v>
      </c>
      <c r="CB170" s="133">
        <f t="shared" si="2116"/>
        <v>5396.06591796875</v>
      </c>
      <c r="CC170" s="133">
        <f t="shared" si="2116"/>
        <v>5396.06591796875</v>
      </c>
      <c r="CD170" s="133">
        <f t="shared" si="2116"/>
        <v>5396.06591796875</v>
      </c>
      <c r="CE170" s="133">
        <f t="shared" si="2116"/>
        <v>5396.06591796875</v>
      </c>
      <c r="CF170" s="133">
        <f t="shared" si="2116"/>
        <v>5396.06591796875</v>
      </c>
      <c r="CG170" s="133">
        <f t="shared" si="2116"/>
        <v>5396.06591796875</v>
      </c>
      <c r="CH170" s="133">
        <f t="shared" si="2116"/>
        <v>5396.06591796875</v>
      </c>
      <c r="CI170" s="133">
        <f t="shared" si="2116"/>
        <v>5396.06591796875</v>
      </c>
      <c r="CJ170" s="133">
        <f t="shared" si="2116"/>
        <v>5396.06591796875</v>
      </c>
      <c r="CK170" s="133">
        <f t="shared" si="2116"/>
        <v>5396.06591796875</v>
      </c>
      <c r="CL170" s="133">
        <f t="shared" si="2116"/>
        <v>5396.06591796875</v>
      </c>
      <c r="CM170" s="133">
        <f t="shared" si="2116"/>
        <v>5396.06591796875</v>
      </c>
      <c r="CN170" s="133">
        <f t="shared" si="2116"/>
        <v>5396.06591796875</v>
      </c>
      <c r="CO170" s="133">
        <f t="shared" si="2116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100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76"/>
        <v>0</v>
      </c>
      <c r="DB170" s="4">
        <f t="shared" si="2077"/>
        <v>0</v>
      </c>
      <c r="DC170" s="4">
        <f t="shared" si="2078"/>
        <v>0</v>
      </c>
      <c r="DD170" s="136">
        <f t="shared" si="2079"/>
        <v>0</v>
      </c>
      <c r="DE170" s="31">
        <v>0</v>
      </c>
      <c r="DG170" s="31">
        <v>0</v>
      </c>
      <c r="DH170" s="48">
        <f t="shared" ref="DH170:DH178" si="2117">IFERROR(ROUNDUP(DG170/$EX170,0)*$EY170,0)</f>
        <v>0</v>
      </c>
      <c r="DI170" s="62">
        <v>8530.1219999999994</v>
      </c>
      <c r="DJ170" s="62">
        <v>1365199.331</v>
      </c>
      <c r="DK170" s="48">
        <f t="shared" si="2101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102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103"/>
        <v>0</v>
      </c>
      <c r="DV170" s="62">
        <v>38920.955000000009</v>
      </c>
      <c r="DW170" s="62">
        <v>6512947.890849012</v>
      </c>
      <c r="DX170" s="62">
        <f t="shared" ref="DX170:DX178" si="2118">$DF170*BK170/30</f>
        <v>0</v>
      </c>
      <c r="DY170" s="62">
        <f t="shared" si="2104"/>
        <v>0</v>
      </c>
      <c r="DZ170" s="48">
        <f t="shared" ref="DZ170:DZ178" si="2119">IFERROR(ROUNDUP(DX170/$EX170,0)*$EY170,0)</f>
        <v>0</v>
      </c>
      <c r="EA170" s="62">
        <f t="shared" ref="EA170:EA178" si="2120">$DF170*BL170/30</f>
        <v>0</v>
      </c>
      <c r="EB170" s="62">
        <f t="shared" si="2105"/>
        <v>0</v>
      </c>
      <c r="EC170" s="48">
        <f t="shared" ref="EC170:EC178" si="2121">IFERROR(ROUNDUP(EA170/$EX170,0)*$EY170,0)</f>
        <v>0</v>
      </c>
      <c r="ED170" s="62">
        <f t="shared" ref="ED170:ED178" si="2122">$DF170*BM170/30</f>
        <v>0</v>
      </c>
      <c r="EE170" s="62">
        <f t="shared" si="2106"/>
        <v>0</v>
      </c>
      <c r="EF170" s="48">
        <f t="shared" ref="EF170:EF178" si="2123">IFERROR(ROUNDUP(ED170/$EX170,0)*$EY170,0)</f>
        <v>0</v>
      </c>
      <c r="EG170" s="62">
        <f t="shared" ref="EG170:EG178" si="2124">$DF170*BN170/30</f>
        <v>0</v>
      </c>
      <c r="EH170" s="62">
        <f t="shared" si="2107"/>
        <v>0</v>
      </c>
      <c r="EI170" s="48">
        <f t="shared" ref="EI170:EI178" si="2125">IFERROR(ROUNDUP(EG170/$EX170,0)*$EY170,0)</f>
        <v>0</v>
      </c>
      <c r="EJ170" s="62">
        <f t="shared" ref="EJ170:EJ178" si="2126">$DF170*BO170/30</f>
        <v>0</v>
      </c>
      <c r="EK170" s="62">
        <f t="shared" si="2108"/>
        <v>0</v>
      </c>
      <c r="EL170" s="48">
        <f t="shared" ref="EL170:EL178" si="2127">IFERROR(ROUNDUP(EJ170/$EX170,0)*$EY170,0)</f>
        <v>0</v>
      </c>
      <c r="EM170" s="62">
        <f t="shared" ref="EM170:EM178" si="2128">$DF170*BP170/30</f>
        <v>0</v>
      </c>
      <c r="EN170" s="62">
        <f t="shared" si="2109"/>
        <v>0</v>
      </c>
      <c r="EO170" s="48">
        <f t="shared" ref="EO170:EO178" si="2129">IFERROR(ROUNDUP(EM170/$EX170,0)*$EY170,0)</f>
        <v>0</v>
      </c>
      <c r="EP170" s="62">
        <f t="shared" si="2081"/>
        <v>0</v>
      </c>
      <c r="EQ170" s="62">
        <f t="shared" si="2081"/>
        <v>0</v>
      </c>
      <c r="ER170" s="62">
        <f t="shared" si="2081"/>
        <v>0</v>
      </c>
      <c r="ES170" s="62">
        <f t="shared" si="2081"/>
        <v>0</v>
      </c>
      <c r="ET170" s="62">
        <f t="shared" si="2081"/>
        <v>0</v>
      </c>
      <c r="EU170" s="62">
        <f t="shared" si="2081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110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 t="shared" si="1821"/>
        <v>1</v>
      </c>
      <c r="FS170" s="120" t="b">
        <f t="shared" si="1822"/>
        <v>1</v>
      </c>
      <c r="FT170" s="120" t="b">
        <f t="shared" si="1823"/>
        <v>1</v>
      </c>
      <c r="FU170" s="120" t="b">
        <f t="shared" si="1824"/>
        <v>1</v>
      </c>
      <c r="FV170" s="120" t="b">
        <f t="shared" si="1825"/>
        <v>1</v>
      </c>
      <c r="FW170" s="104" t="b">
        <f t="shared" si="1881"/>
        <v>0</v>
      </c>
      <c r="FX170" s="120" t="b">
        <f t="shared" ref="FX170:FX178" si="2130">EXACT(FQ170,BI170)</f>
        <v>1</v>
      </c>
      <c r="FY170" s="104" t="s">
        <v>368</v>
      </c>
      <c r="FZ170" s="104" t="b">
        <f t="shared" ref="FZ170:FZ178" si="2131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32">EXACT(GD170,C170)</f>
        <v>1</v>
      </c>
      <c r="GI170" s="8" t="b">
        <f t="shared" ref="GI170:GI178" si="2133">EXACT(GG170,G170)</f>
        <v>0</v>
      </c>
      <c r="GJ170" s="31" t="s">
        <v>203</v>
      </c>
    </row>
    <row r="171" spans="1:192" hidden="1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82"/>
        <v>нет минмакс</v>
      </c>
      <c r="Q171" s="95">
        <v>1735281</v>
      </c>
      <c r="R171" s="95">
        <f t="shared" ref="R171:R178" si="2134">Q171*FH171</f>
        <v>1370871.99</v>
      </c>
      <c r="S171" s="114">
        <v>1267030</v>
      </c>
      <c r="T171" s="114">
        <v>1013624</v>
      </c>
      <c r="U171" s="131">
        <f t="shared" si="2083"/>
        <v>46</v>
      </c>
      <c r="V171" s="115">
        <f t="shared" si="2111"/>
        <v>2815410</v>
      </c>
      <c r="W171" s="115">
        <f t="shared" si="2084"/>
        <v>2224173.9</v>
      </c>
      <c r="X171" s="115">
        <f t="shared" si="2085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86"/>
        <v>0</v>
      </c>
      <c r="AF171" s="95">
        <f t="shared" si="2087"/>
        <v>0</v>
      </c>
      <c r="AG171" s="114">
        <v>0</v>
      </c>
      <c r="AH171" s="95">
        <f t="shared" si="2112"/>
        <v>2815410</v>
      </c>
      <c r="AI171" s="114">
        <f t="shared" si="2088"/>
        <v>2224173.9</v>
      </c>
      <c r="AJ171" s="114">
        <f t="shared" si="2113"/>
        <v>354536</v>
      </c>
      <c r="AK171" s="114">
        <f t="shared" si="2052"/>
        <v>1271321</v>
      </c>
      <c r="AL171" s="114">
        <f t="shared" si="2114"/>
        <v>3017028</v>
      </c>
      <c r="AM171" s="114">
        <f t="shared" si="2115"/>
        <v>5335294</v>
      </c>
      <c r="AN171" s="133">
        <f t="shared" si="2089"/>
        <v>42.746547800364894</v>
      </c>
      <c r="AO171" s="133" t="str">
        <f t="shared" si="2090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91"/>
        <v>0-03</v>
      </c>
      <c r="AW171" s="126">
        <f t="shared" si="2092"/>
        <v>0</v>
      </c>
      <c r="AX171" s="138"/>
      <c r="AY171" s="115">
        <f t="shared" si="2093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94"/>
        <v>0</v>
      </c>
      <c r="BG171" s="32">
        <v>0</v>
      </c>
      <c r="BH171" s="32">
        <f t="shared" si="2095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96"/>
        <v>889215.66666666663</v>
      </c>
      <c r="BR171" s="95">
        <f t="shared" si="2097"/>
        <v>2047998</v>
      </c>
      <c r="BS171" s="133">
        <f t="shared" si="2098"/>
        <v>578760</v>
      </c>
      <c r="BT171" s="133">
        <f t="shared" si="2098"/>
        <v>-269102</v>
      </c>
      <c r="BU171" s="133">
        <f t="shared" si="2098"/>
        <v>-1027475</v>
      </c>
      <c r="BV171" s="133">
        <f t="shared" si="2098"/>
        <v>-1834972</v>
      </c>
      <c r="BW171" s="133">
        <f t="shared" si="2098"/>
        <v>-2519884</v>
      </c>
      <c r="BX171" s="133">
        <f t="shared" si="2116"/>
        <v>-3409099.6666666665</v>
      </c>
      <c r="BY171" s="133">
        <f t="shared" si="2116"/>
        <v>-4298315.333333333</v>
      </c>
      <c r="BZ171" s="133">
        <f t="shared" si="2116"/>
        <v>-5187531</v>
      </c>
      <c r="CA171" s="133">
        <f t="shared" si="2116"/>
        <v>-6076746.666666667</v>
      </c>
      <c r="CB171" s="133">
        <f t="shared" si="2116"/>
        <v>-6965962.333333334</v>
      </c>
      <c r="CC171" s="133">
        <f t="shared" si="2116"/>
        <v>-7855178.0000000009</v>
      </c>
      <c r="CD171" s="133">
        <f t="shared" si="2116"/>
        <v>-8744393.6666666679</v>
      </c>
      <c r="CE171" s="133">
        <f t="shared" si="2116"/>
        <v>-9633609.333333334</v>
      </c>
      <c r="CF171" s="133">
        <f t="shared" si="2116"/>
        <v>-10522825</v>
      </c>
      <c r="CG171" s="133">
        <f t="shared" si="2116"/>
        <v>-11412040.666666666</v>
      </c>
      <c r="CH171" s="133">
        <f t="shared" si="2116"/>
        <v>-12301256.333333332</v>
      </c>
      <c r="CI171" s="133">
        <f t="shared" si="2116"/>
        <v>-13190471.999999998</v>
      </c>
      <c r="CJ171" s="133">
        <f t="shared" si="2116"/>
        <v>-14079687.666666664</v>
      </c>
      <c r="CK171" s="133">
        <f t="shared" si="2116"/>
        <v>-14968903.33333333</v>
      </c>
      <c r="CL171" s="133">
        <f t="shared" si="2116"/>
        <v>-15858118.999999996</v>
      </c>
      <c r="CM171" s="133">
        <f t="shared" si="2116"/>
        <v>-16747334.666666662</v>
      </c>
      <c r="CN171" s="133">
        <f t="shared" si="2116"/>
        <v>-17636550.333333328</v>
      </c>
      <c r="CO171" s="133">
        <f t="shared" si="2116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100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76"/>
        <v>0</v>
      </c>
      <c r="DB171" s="4">
        <f t="shared" si="2077"/>
        <v>0</v>
      </c>
      <c r="DC171" s="4">
        <f t="shared" si="2078"/>
        <v>0</v>
      </c>
      <c r="DD171" s="136">
        <f t="shared" si="2079"/>
        <v>0</v>
      </c>
      <c r="DE171" s="31">
        <v>0</v>
      </c>
      <c r="DG171" s="31">
        <v>0</v>
      </c>
      <c r="DH171" s="48">
        <f t="shared" si="2117"/>
        <v>0</v>
      </c>
      <c r="DI171" s="62">
        <v>1238264.838</v>
      </c>
      <c r="DJ171" s="62">
        <v>961135.01199999999</v>
      </c>
      <c r="DK171" s="48">
        <f t="shared" si="2101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102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103"/>
        <v>53</v>
      </c>
      <c r="DV171" s="62">
        <v>536459</v>
      </c>
      <c r="DW171" s="62">
        <v>426743.74267779593</v>
      </c>
      <c r="DX171" s="62">
        <f t="shared" si="2118"/>
        <v>0</v>
      </c>
      <c r="DY171" s="62">
        <f t="shared" si="2104"/>
        <v>0</v>
      </c>
      <c r="DZ171" s="48">
        <f t="shared" si="2119"/>
        <v>0</v>
      </c>
      <c r="EA171" s="62">
        <f t="shared" si="2120"/>
        <v>0</v>
      </c>
      <c r="EB171" s="62">
        <f t="shared" si="2105"/>
        <v>0</v>
      </c>
      <c r="EC171" s="48">
        <f t="shared" si="2121"/>
        <v>0</v>
      </c>
      <c r="ED171" s="62">
        <f t="shared" si="2122"/>
        <v>0</v>
      </c>
      <c r="EE171" s="62">
        <f t="shared" si="2106"/>
        <v>0</v>
      </c>
      <c r="EF171" s="48">
        <f t="shared" si="2123"/>
        <v>0</v>
      </c>
      <c r="EG171" s="62">
        <f t="shared" si="2124"/>
        <v>0</v>
      </c>
      <c r="EH171" s="62">
        <f t="shared" si="2107"/>
        <v>0</v>
      </c>
      <c r="EI171" s="48">
        <f t="shared" si="2125"/>
        <v>0</v>
      </c>
      <c r="EJ171" s="62">
        <f t="shared" si="2126"/>
        <v>0</v>
      </c>
      <c r="EK171" s="62">
        <f t="shared" si="2108"/>
        <v>0</v>
      </c>
      <c r="EL171" s="48">
        <f t="shared" si="2127"/>
        <v>0</v>
      </c>
      <c r="EM171" s="62">
        <f t="shared" si="2128"/>
        <v>0</v>
      </c>
      <c r="EN171" s="62">
        <f t="shared" si="2109"/>
        <v>0</v>
      </c>
      <c r="EO171" s="48">
        <f t="shared" si="2129"/>
        <v>0</v>
      </c>
      <c r="EP171" s="62">
        <f t="shared" si="2081"/>
        <v>606255.48</v>
      </c>
      <c r="EQ171" s="62">
        <f t="shared" si="2081"/>
        <v>1160698.02</v>
      </c>
      <c r="ER171" s="62">
        <f t="shared" si="2081"/>
        <v>669810.98</v>
      </c>
      <c r="ES171" s="62">
        <f t="shared" si="2081"/>
        <v>599114.67000000004</v>
      </c>
      <c r="ET171" s="62">
        <f t="shared" si="2081"/>
        <v>637922.63</v>
      </c>
      <c r="EU171" s="62">
        <f t="shared" si="2081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110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 t="shared" si="1821"/>
        <v>1</v>
      </c>
      <c r="FS171" s="120" t="b">
        <f t="shared" si="1822"/>
        <v>1</v>
      </c>
      <c r="FT171" s="120" t="b">
        <f t="shared" si="1823"/>
        <v>1</v>
      </c>
      <c r="FU171" s="120" t="b">
        <f t="shared" si="1824"/>
        <v>1</v>
      </c>
      <c r="FV171" s="120" t="b">
        <f t="shared" si="1825"/>
        <v>1</v>
      </c>
      <c r="FW171" s="104" t="b">
        <f t="shared" si="1881"/>
        <v>0</v>
      </c>
      <c r="FX171" s="120" t="b">
        <f t="shared" si="2130"/>
        <v>1</v>
      </c>
      <c r="FY171" s="104" t="s">
        <v>368</v>
      </c>
      <c r="FZ171" s="104" t="b">
        <f t="shared" si="2131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32"/>
        <v>1</v>
      </c>
      <c r="GI171" s="8" t="b">
        <f t="shared" si="2133"/>
        <v>0</v>
      </c>
      <c r="GJ171" s="31" t="s">
        <v>203</v>
      </c>
    </row>
    <row r="172" spans="1:192" hidden="1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82"/>
        <v>нет минмакс</v>
      </c>
      <c r="Q172" s="95">
        <v>478030</v>
      </c>
      <c r="R172" s="95">
        <f t="shared" si="2134"/>
        <v>1348044.5999999999</v>
      </c>
      <c r="S172" s="114">
        <v>317753</v>
      </c>
      <c r="T172" s="114">
        <v>924661.2300000001</v>
      </c>
      <c r="U172" s="131">
        <f t="shared" si="2083"/>
        <v>46</v>
      </c>
      <c r="V172" s="115">
        <f t="shared" si="2111"/>
        <v>216748</v>
      </c>
      <c r="W172" s="115">
        <f t="shared" si="2084"/>
        <v>611229.36</v>
      </c>
      <c r="X172" s="115">
        <f t="shared" si="2085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86"/>
        <v>0</v>
      </c>
      <c r="AF172" s="95">
        <f t="shared" si="2087"/>
        <v>0</v>
      </c>
      <c r="AG172" s="114">
        <v>0</v>
      </c>
      <c r="AH172" s="95">
        <f t="shared" si="2112"/>
        <v>216748</v>
      </c>
      <c r="AI172" s="114">
        <f t="shared" si="2088"/>
        <v>611229.36</v>
      </c>
      <c r="AJ172" s="114">
        <f t="shared" si="2113"/>
        <v>640977</v>
      </c>
      <c r="AK172" s="114">
        <f t="shared" ref="AK172:AK180" si="2135">SUM(CS172:CU172)</f>
        <v>1420065</v>
      </c>
      <c r="AL172" s="114">
        <f t="shared" si="2114"/>
        <v>2162047</v>
      </c>
      <c r="AM172" s="114">
        <f t="shared" si="2115"/>
        <v>2780698</v>
      </c>
      <c r="AN172" s="133">
        <f t="shared" si="2089"/>
        <v>20.568770862567597</v>
      </c>
      <c r="AO172" s="133" t="str">
        <f t="shared" si="2090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91"/>
        <v>0-01</v>
      </c>
      <c r="AW172" s="126">
        <f t="shared" si="2092"/>
        <v>0</v>
      </c>
      <c r="AX172" s="138"/>
      <c r="AY172" s="115">
        <f t="shared" si="2093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94"/>
        <v>0</v>
      </c>
      <c r="BG172" s="32">
        <v>0</v>
      </c>
      <c r="BH172" s="32">
        <f t="shared" si="2095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96"/>
        <v>463449.66666666669</v>
      </c>
      <c r="BR172" s="95">
        <f t="shared" si="2097"/>
        <v>-15123</v>
      </c>
      <c r="BS172" s="133">
        <f t="shared" si="2098"/>
        <v>-451755</v>
      </c>
      <c r="BT172" s="133">
        <f t="shared" si="2098"/>
        <v>-905885</v>
      </c>
      <c r="BU172" s="133">
        <f t="shared" si="2098"/>
        <v>-1365678</v>
      </c>
      <c r="BV172" s="133">
        <f t="shared" si="2098"/>
        <v>-1833045</v>
      </c>
      <c r="BW172" s="133">
        <f t="shared" si="2098"/>
        <v>-2302668</v>
      </c>
      <c r="BX172" s="133">
        <f t="shared" si="2116"/>
        <v>-2766117.6666666665</v>
      </c>
      <c r="BY172" s="133">
        <f t="shared" si="2116"/>
        <v>-3229567.333333333</v>
      </c>
      <c r="BZ172" s="133">
        <f t="shared" si="2116"/>
        <v>-3693016.9999999995</v>
      </c>
      <c r="CA172" s="133">
        <f t="shared" si="2116"/>
        <v>-4156466.666666666</v>
      </c>
      <c r="CB172" s="133">
        <f t="shared" si="2116"/>
        <v>-4619916.333333333</v>
      </c>
      <c r="CC172" s="133">
        <f t="shared" si="2116"/>
        <v>-5083366</v>
      </c>
      <c r="CD172" s="133">
        <f t="shared" si="2116"/>
        <v>-5546815.666666667</v>
      </c>
      <c r="CE172" s="133">
        <f t="shared" si="2116"/>
        <v>-6010265.333333334</v>
      </c>
      <c r="CF172" s="133">
        <f t="shared" si="2116"/>
        <v>-6473715.0000000009</v>
      </c>
      <c r="CG172" s="133">
        <f t="shared" si="2116"/>
        <v>-6937164.6666666679</v>
      </c>
      <c r="CH172" s="133">
        <f t="shared" si="2116"/>
        <v>-7400614.3333333349</v>
      </c>
      <c r="CI172" s="133">
        <f t="shared" si="2116"/>
        <v>-7864064.0000000019</v>
      </c>
      <c r="CJ172" s="133">
        <f t="shared" si="2116"/>
        <v>-8327513.6666666688</v>
      </c>
      <c r="CK172" s="133">
        <f t="shared" si="2116"/>
        <v>-8790963.3333333358</v>
      </c>
      <c r="CL172" s="133">
        <f t="shared" si="2116"/>
        <v>-9254413.0000000019</v>
      </c>
      <c r="CM172" s="133">
        <f t="shared" si="2116"/>
        <v>-9717862.6666666679</v>
      </c>
      <c r="CN172" s="133">
        <f t="shared" si="2116"/>
        <v>-10181312.333333334</v>
      </c>
      <c r="CO172" s="133">
        <f t="shared" si="2116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100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76"/>
        <v>0</v>
      </c>
      <c r="DB172" s="4">
        <f t="shared" si="2077"/>
        <v>0</v>
      </c>
      <c r="DC172" s="4">
        <f t="shared" si="2078"/>
        <v>0</v>
      </c>
      <c r="DD172" s="136">
        <f t="shared" si="2079"/>
        <v>0</v>
      </c>
      <c r="DE172" s="31">
        <v>0</v>
      </c>
      <c r="DG172" s="31">
        <v>0</v>
      </c>
      <c r="DH172" s="48">
        <f t="shared" si="2117"/>
        <v>0</v>
      </c>
      <c r="DI172" s="62">
        <v>610337.67700000003</v>
      </c>
      <c r="DJ172" s="62">
        <v>1699089.8229999999</v>
      </c>
      <c r="DK172" s="48">
        <f t="shared" si="2101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102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103"/>
        <v>74</v>
      </c>
      <c r="DV172" s="62">
        <v>474463</v>
      </c>
      <c r="DW172" s="62">
        <v>1355798.9163188888</v>
      </c>
      <c r="DX172" s="62">
        <f t="shared" si="2118"/>
        <v>0</v>
      </c>
      <c r="DY172" s="62">
        <f t="shared" si="2104"/>
        <v>0</v>
      </c>
      <c r="DZ172" s="48">
        <f t="shared" si="2119"/>
        <v>0</v>
      </c>
      <c r="EA172" s="62">
        <f t="shared" si="2120"/>
        <v>0</v>
      </c>
      <c r="EB172" s="62">
        <f t="shared" si="2105"/>
        <v>0</v>
      </c>
      <c r="EC172" s="48">
        <f t="shared" si="2121"/>
        <v>0</v>
      </c>
      <c r="ED172" s="62">
        <f t="shared" si="2122"/>
        <v>0</v>
      </c>
      <c r="EE172" s="62">
        <f t="shared" si="2106"/>
        <v>0</v>
      </c>
      <c r="EF172" s="48">
        <f t="shared" si="2123"/>
        <v>0</v>
      </c>
      <c r="EG172" s="62">
        <f t="shared" si="2124"/>
        <v>0</v>
      </c>
      <c r="EH172" s="62">
        <f t="shared" si="2107"/>
        <v>0</v>
      </c>
      <c r="EI172" s="48">
        <f t="shared" si="2125"/>
        <v>0</v>
      </c>
      <c r="EJ172" s="62">
        <f t="shared" si="2126"/>
        <v>0</v>
      </c>
      <c r="EK172" s="62">
        <f t="shared" si="2108"/>
        <v>0</v>
      </c>
      <c r="EL172" s="48">
        <f t="shared" si="2127"/>
        <v>0</v>
      </c>
      <c r="EM172" s="62">
        <f t="shared" si="2128"/>
        <v>0</v>
      </c>
      <c r="EN172" s="62">
        <f t="shared" si="2109"/>
        <v>0</v>
      </c>
      <c r="EO172" s="48">
        <f t="shared" si="2129"/>
        <v>0</v>
      </c>
      <c r="EP172" s="62">
        <f t="shared" si="2081"/>
        <v>1390691.46</v>
      </c>
      <c r="EQ172" s="62">
        <f t="shared" si="2081"/>
        <v>1231302.24</v>
      </c>
      <c r="ER172" s="62">
        <f t="shared" si="2081"/>
        <v>1280646.5999999999</v>
      </c>
      <c r="ES172" s="62">
        <f t="shared" si="2081"/>
        <v>1296616.26</v>
      </c>
      <c r="ET172" s="62">
        <f t="shared" si="2081"/>
        <v>1317974.94</v>
      </c>
      <c r="EU172" s="62">
        <f t="shared" si="2081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110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 t="shared" si="1821"/>
        <v>1</v>
      </c>
      <c r="FS172" s="120" t="b">
        <f t="shared" si="1822"/>
        <v>1</v>
      </c>
      <c r="FT172" s="120" t="b">
        <f t="shared" si="1823"/>
        <v>1</v>
      </c>
      <c r="FU172" s="120" t="b">
        <f t="shared" si="1824"/>
        <v>1</v>
      </c>
      <c r="FV172" s="120" t="b">
        <f t="shared" si="1825"/>
        <v>1</v>
      </c>
      <c r="FW172" s="104" t="b">
        <f t="shared" si="1881"/>
        <v>0</v>
      </c>
      <c r="FX172" s="120" t="b">
        <f t="shared" si="2130"/>
        <v>1</v>
      </c>
      <c r="FY172" s="104" t="s">
        <v>368</v>
      </c>
      <c r="FZ172" s="104" t="b">
        <f t="shared" si="2131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32"/>
        <v>1</v>
      </c>
      <c r="GI172" s="8" t="b">
        <f t="shared" si="2133"/>
        <v>0</v>
      </c>
      <c r="GJ172" s="31" t="s">
        <v>203</v>
      </c>
    </row>
    <row r="173" spans="1:192" ht="30" hidden="1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82"/>
        <v>меньше мин</v>
      </c>
      <c r="Q173" s="95">
        <v>6479.0438946783543</v>
      </c>
      <c r="R173" s="95">
        <f t="shared" si="2134"/>
        <v>1010212.524058249</v>
      </c>
      <c r="S173" s="131">
        <v>6514.6369037628174</v>
      </c>
      <c r="T173" s="131">
        <v>899019.8927192688</v>
      </c>
      <c r="U173" s="131">
        <f t="shared" si="2083"/>
        <v>10.5</v>
      </c>
      <c r="V173" s="113">
        <f t="shared" si="2111"/>
        <v>4843.4071151907556</v>
      </c>
      <c r="W173" s="113">
        <f t="shared" si="2084"/>
        <v>755184.03740054253</v>
      </c>
      <c r="X173" s="113">
        <f t="shared" si="2085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86"/>
        <v>0</v>
      </c>
      <c r="AF173" s="95">
        <f t="shared" si="2087"/>
        <v>0</v>
      </c>
      <c r="AG173" s="114">
        <v>0</v>
      </c>
      <c r="AH173" s="95">
        <f t="shared" si="2112"/>
        <v>4843.4071151907556</v>
      </c>
      <c r="AI173" s="114">
        <f t="shared" si="2088"/>
        <v>755184.03740054253</v>
      </c>
      <c r="AJ173" s="133">
        <f t="shared" si="2113"/>
        <v>9020</v>
      </c>
      <c r="AK173" s="133">
        <f t="shared" si="2135"/>
        <v>40289</v>
      </c>
      <c r="AL173" s="133">
        <f t="shared" si="2114"/>
        <v>77494</v>
      </c>
      <c r="AM173" s="133">
        <f t="shared" si="2115"/>
        <v>110110.19999999998</v>
      </c>
      <c r="AN173" s="133">
        <f t="shared" si="2089"/>
        <v>10.649645924512964</v>
      </c>
      <c r="AO173" s="133" t="str">
        <f t="shared" si="2090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91"/>
        <v>0-01</v>
      </c>
      <c r="AW173" s="117">
        <f t="shared" si="2092"/>
        <v>0</v>
      </c>
      <c r="AX173" s="14"/>
      <c r="AY173" s="25">
        <f t="shared" si="2093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94"/>
        <v>0</v>
      </c>
      <c r="BG173" s="32">
        <v>0</v>
      </c>
      <c r="BH173" s="32">
        <f t="shared" si="2095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96"/>
        <v>18351.699999999997</v>
      </c>
      <c r="BR173" s="95">
        <f t="shared" si="2097"/>
        <v>-9193.1761053216469</v>
      </c>
      <c r="BS173" s="133">
        <f t="shared" si="2098"/>
        <v>-28961.486105321648</v>
      </c>
      <c r="BT173" s="133">
        <f t="shared" si="2098"/>
        <v>-47310.496105321647</v>
      </c>
      <c r="BU173" s="133">
        <f t="shared" si="2098"/>
        <v>-65827.71610532164</v>
      </c>
      <c r="BV173" s="133">
        <f t="shared" si="2098"/>
        <v>-85811.836105321636</v>
      </c>
      <c r="BW173" s="133">
        <f t="shared" si="2098"/>
        <v>-103631.15610532163</v>
      </c>
      <c r="BX173" s="133">
        <f t="shared" ref="BX173:CO173" si="2136">BW173-$BQ173</f>
        <v>-121982.85610532163</v>
      </c>
      <c r="BY173" s="133">
        <f t="shared" si="2136"/>
        <v>-140334.55610532162</v>
      </c>
      <c r="BZ173" s="133">
        <f t="shared" si="2136"/>
        <v>-158686.25610532163</v>
      </c>
      <c r="CA173" s="133">
        <f t="shared" si="2136"/>
        <v>-177037.95610532165</v>
      </c>
      <c r="CB173" s="133">
        <f t="shared" si="2136"/>
        <v>-195389.65610532166</v>
      </c>
      <c r="CC173" s="133">
        <f t="shared" si="2136"/>
        <v>-213741.35610532167</v>
      </c>
      <c r="CD173" s="133">
        <f t="shared" si="2136"/>
        <v>-232093.05610532168</v>
      </c>
      <c r="CE173" s="133">
        <f t="shared" si="2136"/>
        <v>-250444.75610532169</v>
      </c>
      <c r="CF173" s="133">
        <f t="shared" si="2136"/>
        <v>-268796.4561053217</v>
      </c>
      <c r="CG173" s="133">
        <f t="shared" si="2136"/>
        <v>-287148.15610532172</v>
      </c>
      <c r="CH173" s="133">
        <f t="shared" si="2136"/>
        <v>-305499.85610532173</v>
      </c>
      <c r="CI173" s="133">
        <f t="shared" si="2136"/>
        <v>-323851.55610532174</v>
      </c>
      <c r="CJ173" s="133">
        <f t="shared" si="2136"/>
        <v>-342203.25610532175</v>
      </c>
      <c r="CK173" s="133">
        <f t="shared" si="2136"/>
        <v>-360554.95610532176</v>
      </c>
      <c r="CL173" s="133">
        <f t="shared" si="2136"/>
        <v>-378906.65610532177</v>
      </c>
      <c r="CM173" s="133">
        <f t="shared" si="2136"/>
        <v>-397258.35610532179</v>
      </c>
      <c r="CN173" s="133">
        <f t="shared" si="2136"/>
        <v>-415610.0561053218</v>
      </c>
      <c r="CO173" s="133">
        <f t="shared" si="2136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100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76"/>
        <v>0</v>
      </c>
      <c r="DB173" s="4">
        <f t="shared" si="2077"/>
        <v>0</v>
      </c>
      <c r="DC173" s="4">
        <f t="shared" si="2078"/>
        <v>0</v>
      </c>
      <c r="DD173" s="136">
        <f t="shared" si="2079"/>
        <v>0</v>
      </c>
      <c r="DE173" s="31">
        <v>0</v>
      </c>
      <c r="DF173" s="31">
        <v>25</v>
      </c>
      <c r="DG173" s="31">
        <v>0</v>
      </c>
      <c r="DH173" s="48">
        <f t="shared" si="2117"/>
        <v>0</v>
      </c>
      <c r="DI173" s="62">
        <v>9996.3040000000001</v>
      </c>
      <c r="DJ173" s="62">
        <v>1379516.453</v>
      </c>
      <c r="DK173" s="48">
        <f t="shared" si="2101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102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103"/>
        <v>12</v>
      </c>
      <c r="DV173" s="62">
        <v>14905.643999999926</v>
      </c>
      <c r="DW173" s="62">
        <v>2057015.1556293583</v>
      </c>
      <c r="DX173" s="62">
        <f t="shared" si="2118"/>
        <v>13060.183333333332</v>
      </c>
      <c r="DY173" s="62">
        <f t="shared" si="2104"/>
        <v>2036343.7853333331</v>
      </c>
      <c r="DZ173" s="48">
        <f t="shared" si="2119"/>
        <v>21</v>
      </c>
      <c r="EA173" s="62">
        <f t="shared" si="2120"/>
        <v>16473.591666666667</v>
      </c>
      <c r="EB173" s="62">
        <f t="shared" si="2105"/>
        <v>2568562.4126666663</v>
      </c>
      <c r="EC173" s="48">
        <f t="shared" si="2121"/>
        <v>25.5</v>
      </c>
      <c r="ED173" s="62">
        <f t="shared" si="2122"/>
        <v>15290.841666666665</v>
      </c>
      <c r="EE173" s="62">
        <f t="shared" si="2106"/>
        <v>2384148.0326666664</v>
      </c>
      <c r="EF173" s="48">
        <f t="shared" si="2123"/>
        <v>24</v>
      </c>
      <c r="EG173" s="62">
        <f t="shared" si="2124"/>
        <v>15431.016666666665</v>
      </c>
      <c r="EH173" s="62">
        <f t="shared" si="2107"/>
        <v>2406004.1186666661</v>
      </c>
      <c r="EI173" s="48">
        <f t="shared" si="2125"/>
        <v>24</v>
      </c>
      <c r="EJ173" s="62">
        <f t="shared" si="2126"/>
        <v>16653.433333333334</v>
      </c>
      <c r="EK173" s="62">
        <f t="shared" si="2108"/>
        <v>2596603.3253333331</v>
      </c>
      <c r="EL173" s="48">
        <f t="shared" si="2127"/>
        <v>25.5</v>
      </c>
      <c r="EM173" s="62">
        <f t="shared" si="2128"/>
        <v>14849.433333333332</v>
      </c>
      <c r="EN173" s="62">
        <f t="shared" si="2109"/>
        <v>2315323.6453333329</v>
      </c>
      <c r="EO173" s="48">
        <f t="shared" si="2129"/>
        <v>22.5</v>
      </c>
      <c r="EP173" s="62">
        <f t="shared" si="2081"/>
        <v>2443612.5424000002</v>
      </c>
      <c r="EQ173" s="62">
        <f t="shared" si="2081"/>
        <v>3082274.8952000001</v>
      </c>
      <c r="ER173" s="62">
        <f t="shared" si="2081"/>
        <v>2860977.6391999996</v>
      </c>
      <c r="ES173" s="62">
        <f t="shared" ref="ES173:EU182" si="2137">BN173*$FH173</f>
        <v>2887204.9423999996</v>
      </c>
      <c r="ET173" s="62">
        <f t="shared" si="2137"/>
        <v>3115923.9903999995</v>
      </c>
      <c r="EU173" s="62">
        <f t="shared" si="2137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110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 t="shared" si="1821"/>
        <v>1</v>
      </c>
      <c r="FS173" s="103" t="b">
        <f t="shared" si="1822"/>
        <v>1</v>
      </c>
      <c r="FT173" s="103" t="b">
        <f t="shared" si="1823"/>
        <v>0</v>
      </c>
      <c r="FU173" s="103" t="b">
        <f t="shared" si="1824"/>
        <v>0</v>
      </c>
      <c r="FV173" s="103" t="b">
        <f t="shared" si="1825"/>
        <v>1</v>
      </c>
      <c r="FW173" s="104" t="b">
        <f t="shared" si="1881"/>
        <v>0</v>
      </c>
      <c r="FX173" s="120" t="b">
        <f t="shared" si="2130"/>
        <v>1</v>
      </c>
      <c r="FY173" s="104" t="s">
        <v>368</v>
      </c>
      <c r="FZ173" s="104" t="b">
        <f t="shared" si="2131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32"/>
        <v>1</v>
      </c>
      <c r="GI173" s="8" t="b">
        <f t="shared" si="2133"/>
        <v>0</v>
      </c>
      <c r="GJ173" s="31" t="s">
        <v>203</v>
      </c>
    </row>
    <row r="174" spans="1:192" ht="30" hidden="1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82"/>
        <v>нет минмакс</v>
      </c>
      <c r="Q174" s="95">
        <v>2294.1909198760986</v>
      </c>
      <c r="R174" s="95">
        <f t="shared" si="2134"/>
        <v>283630.82342428208</v>
      </c>
      <c r="S174" s="114">
        <v>6376.010986328125</v>
      </c>
      <c r="T174" s="114">
        <v>879379.43523437495</v>
      </c>
      <c r="U174" s="131">
        <f t="shared" si="2083"/>
        <v>0</v>
      </c>
      <c r="V174" s="115">
        <f t="shared" si="2111"/>
        <v>9226.4580078125</v>
      </c>
      <c r="W174" s="115">
        <f t="shared" si="2084"/>
        <v>1140667.0035058593</v>
      </c>
      <c r="X174" s="115">
        <f t="shared" si="2085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86"/>
        <v>0</v>
      </c>
      <c r="AF174" s="95">
        <f t="shared" si="2087"/>
        <v>0</v>
      </c>
      <c r="AG174" s="114">
        <v>0</v>
      </c>
      <c r="AH174" s="95">
        <f t="shared" si="2112"/>
        <v>9226.4580078125</v>
      </c>
      <c r="AI174" s="114">
        <f t="shared" si="2088"/>
        <v>1140667.0035058593</v>
      </c>
      <c r="AJ174" s="114">
        <f t="shared" si="2113"/>
        <v>202932</v>
      </c>
      <c r="AK174" s="114">
        <f t="shared" si="2135"/>
        <v>525824</v>
      </c>
      <c r="AL174" s="114">
        <f t="shared" si="2114"/>
        <v>1003698</v>
      </c>
      <c r="AM174" s="114">
        <f t="shared" si="2115"/>
        <v>0</v>
      </c>
      <c r="AN174" s="133" t="str">
        <f t="shared" si="2089"/>
        <v>нет оборота</v>
      </c>
      <c r="AO174" s="133" t="str">
        <f t="shared" si="2090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91"/>
        <v>Нет планов</v>
      </c>
      <c r="AW174" s="126">
        <f t="shared" si="2092"/>
        <v>1140667.0035058593</v>
      </c>
      <c r="AX174" s="138"/>
      <c r="AY174" s="115">
        <f t="shared" si="2093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94"/>
        <v>0</v>
      </c>
      <c r="BG174" s="32">
        <v>0</v>
      </c>
      <c r="BH174" s="32">
        <f t="shared" si="2095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96"/>
        <v>0</v>
      </c>
      <c r="BR174" s="95">
        <f t="shared" si="2097"/>
        <v>9226.4580078125</v>
      </c>
      <c r="BS174" s="133">
        <f t="shared" si="2098"/>
        <v>9226.4580078125</v>
      </c>
      <c r="BT174" s="133">
        <f t="shared" si="2098"/>
        <v>9226.4580078125</v>
      </c>
      <c r="BU174" s="133">
        <f t="shared" si="2098"/>
        <v>9226.4580078125</v>
      </c>
      <c r="BV174" s="133">
        <f t="shared" si="2098"/>
        <v>9226.4580078125</v>
      </c>
      <c r="BW174" s="133">
        <f t="shared" si="2098"/>
        <v>9226.4580078125</v>
      </c>
      <c r="BX174" s="133">
        <f t="shared" ref="BX174:CO175" si="2138">BW174-$BQ174</f>
        <v>9226.4580078125</v>
      </c>
      <c r="BY174" s="133">
        <f t="shared" si="2138"/>
        <v>9226.4580078125</v>
      </c>
      <c r="BZ174" s="133">
        <f t="shared" si="2138"/>
        <v>9226.4580078125</v>
      </c>
      <c r="CA174" s="133">
        <f t="shared" si="2138"/>
        <v>9226.4580078125</v>
      </c>
      <c r="CB174" s="133">
        <f t="shared" si="2138"/>
        <v>9226.4580078125</v>
      </c>
      <c r="CC174" s="133">
        <f t="shared" si="2138"/>
        <v>9226.4580078125</v>
      </c>
      <c r="CD174" s="133">
        <f t="shared" si="2138"/>
        <v>9226.4580078125</v>
      </c>
      <c r="CE174" s="133">
        <f t="shared" si="2138"/>
        <v>9226.4580078125</v>
      </c>
      <c r="CF174" s="133">
        <f t="shared" si="2138"/>
        <v>9226.4580078125</v>
      </c>
      <c r="CG174" s="133">
        <f t="shared" si="2138"/>
        <v>9226.4580078125</v>
      </c>
      <c r="CH174" s="133">
        <f t="shared" si="2138"/>
        <v>9226.4580078125</v>
      </c>
      <c r="CI174" s="133">
        <f t="shared" si="2138"/>
        <v>9226.4580078125</v>
      </c>
      <c r="CJ174" s="133">
        <f t="shared" si="2138"/>
        <v>9226.4580078125</v>
      </c>
      <c r="CK174" s="133">
        <f t="shared" si="2138"/>
        <v>9226.4580078125</v>
      </c>
      <c r="CL174" s="133">
        <f t="shared" si="2138"/>
        <v>9226.4580078125</v>
      </c>
      <c r="CM174" s="133">
        <f t="shared" si="2138"/>
        <v>9226.4580078125</v>
      </c>
      <c r="CN174" s="133">
        <f t="shared" si="2138"/>
        <v>9226.4580078125</v>
      </c>
      <c r="CO174" s="133">
        <f t="shared" si="2138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100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76"/>
        <v>0</v>
      </c>
      <c r="DB174" s="4">
        <f t="shared" si="2077"/>
        <v>0</v>
      </c>
      <c r="DC174" s="4">
        <f t="shared" si="2078"/>
        <v>0</v>
      </c>
      <c r="DD174" s="136">
        <f t="shared" si="2079"/>
        <v>0</v>
      </c>
      <c r="DE174" s="31">
        <v>0</v>
      </c>
      <c r="DG174" s="31">
        <v>0</v>
      </c>
      <c r="DH174" s="48">
        <f t="shared" si="2117"/>
        <v>0</v>
      </c>
      <c r="DI174" s="62">
        <v>8141.8559999999998</v>
      </c>
      <c r="DJ174" s="62">
        <v>1090287.263</v>
      </c>
      <c r="DK174" s="48">
        <f t="shared" si="2101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102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103"/>
        <v>0</v>
      </c>
      <c r="DV174" s="62">
        <v>149425.56700000001</v>
      </c>
      <c r="DW174" s="62">
        <v>20582739.40209002</v>
      </c>
      <c r="DX174" s="62">
        <f t="shared" si="2118"/>
        <v>0</v>
      </c>
      <c r="DY174" s="62">
        <f t="shared" si="2104"/>
        <v>0</v>
      </c>
      <c r="DZ174" s="48">
        <f t="shared" si="2119"/>
        <v>0</v>
      </c>
      <c r="EA174" s="62">
        <f t="shared" si="2120"/>
        <v>0</v>
      </c>
      <c r="EB174" s="62">
        <f t="shared" si="2105"/>
        <v>0</v>
      </c>
      <c r="EC174" s="48">
        <f t="shared" si="2121"/>
        <v>0</v>
      </c>
      <c r="ED174" s="62">
        <f t="shared" si="2122"/>
        <v>0</v>
      </c>
      <c r="EE174" s="62">
        <f t="shared" si="2106"/>
        <v>0</v>
      </c>
      <c r="EF174" s="48">
        <f t="shared" si="2123"/>
        <v>0</v>
      </c>
      <c r="EG174" s="62">
        <f t="shared" si="2124"/>
        <v>0</v>
      </c>
      <c r="EH174" s="62">
        <f t="shared" si="2107"/>
        <v>0</v>
      </c>
      <c r="EI174" s="48">
        <f t="shared" si="2125"/>
        <v>0</v>
      </c>
      <c r="EJ174" s="62">
        <f t="shared" si="2126"/>
        <v>0</v>
      </c>
      <c r="EK174" s="62">
        <f t="shared" si="2108"/>
        <v>0</v>
      </c>
      <c r="EL174" s="48">
        <f t="shared" si="2127"/>
        <v>0</v>
      </c>
      <c r="EM174" s="62">
        <f t="shared" si="2128"/>
        <v>0</v>
      </c>
      <c r="EN174" s="62">
        <f t="shared" si="2109"/>
        <v>0</v>
      </c>
      <c r="EO174" s="48">
        <f t="shared" si="2129"/>
        <v>0</v>
      </c>
      <c r="EP174" s="62">
        <f t="shared" ref="EP174:ER182" si="2139">BK174*$FH174</f>
        <v>0</v>
      </c>
      <c r="EQ174" s="62">
        <f t="shared" si="2139"/>
        <v>0</v>
      </c>
      <c r="ER174" s="62">
        <f t="shared" si="2139"/>
        <v>0</v>
      </c>
      <c r="ES174" s="62">
        <f t="shared" si="2137"/>
        <v>0</v>
      </c>
      <c r="ET174" s="62">
        <f t="shared" si="2137"/>
        <v>0</v>
      </c>
      <c r="EU174" s="62">
        <f t="shared" si="2137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110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 t="shared" si="1821"/>
        <v>1</v>
      </c>
      <c r="FS174" s="120" t="b">
        <f t="shared" si="1822"/>
        <v>1</v>
      </c>
      <c r="FT174" s="120" t="b">
        <f t="shared" si="1823"/>
        <v>1</v>
      </c>
      <c r="FU174" s="120" t="b">
        <f t="shared" si="1824"/>
        <v>1</v>
      </c>
      <c r="FV174" s="120" t="b">
        <f t="shared" si="1825"/>
        <v>1</v>
      </c>
      <c r="FW174" s="104" t="b">
        <f t="shared" si="1881"/>
        <v>0</v>
      </c>
      <c r="FX174" s="120" t="b">
        <f t="shared" si="2130"/>
        <v>1</v>
      </c>
      <c r="FY174" s="104" t="s">
        <v>368</v>
      </c>
      <c r="FZ174" s="104" t="b">
        <f t="shared" si="2131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32"/>
        <v>1</v>
      </c>
      <c r="GI174" s="8" t="b">
        <f t="shared" si="2133"/>
        <v>0</v>
      </c>
      <c r="GJ174" s="31" t="s">
        <v>203</v>
      </c>
    </row>
    <row r="175" spans="1:192" hidden="1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82"/>
        <v>нет минмакс</v>
      </c>
      <c r="Q175" s="95">
        <v>19402</v>
      </c>
      <c r="R175" s="95">
        <f t="shared" si="2134"/>
        <v>636773.64</v>
      </c>
      <c r="S175" s="114">
        <v>26639</v>
      </c>
      <c r="T175" s="114">
        <v>874291.98</v>
      </c>
      <c r="U175" s="131">
        <f t="shared" si="2083"/>
        <v>124</v>
      </c>
      <c r="V175" s="115">
        <f t="shared" si="2111"/>
        <v>19438</v>
      </c>
      <c r="W175" s="115">
        <f t="shared" si="2084"/>
        <v>637955.16</v>
      </c>
      <c r="X175" s="115">
        <f t="shared" si="2085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86"/>
        <v>0</v>
      </c>
      <c r="AF175" s="95">
        <f t="shared" si="2087"/>
        <v>0</v>
      </c>
      <c r="AG175" s="114">
        <v>0</v>
      </c>
      <c r="AH175" s="95">
        <f t="shared" si="2112"/>
        <v>19438</v>
      </c>
      <c r="AI175" s="114">
        <f t="shared" si="2088"/>
        <v>637955.16</v>
      </c>
      <c r="AJ175" s="114">
        <f t="shared" si="2113"/>
        <v>0</v>
      </c>
      <c r="AK175" s="114">
        <f t="shared" si="2135"/>
        <v>7865</v>
      </c>
      <c r="AL175" s="114">
        <f t="shared" si="2114"/>
        <v>16165</v>
      </c>
      <c r="AM175" s="114">
        <f t="shared" si="2115"/>
        <v>42295</v>
      </c>
      <c r="AN175" s="133">
        <f t="shared" si="2089"/>
        <v>113.37084761792174</v>
      </c>
      <c r="AO175" s="133" t="str">
        <f t="shared" si="2090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91"/>
        <v>0-03</v>
      </c>
      <c r="AW175" s="126">
        <f t="shared" si="2092"/>
        <v>0</v>
      </c>
      <c r="AX175" s="138"/>
      <c r="AY175" s="115">
        <f t="shared" si="2093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94"/>
        <v>0</v>
      </c>
      <c r="BG175" s="32">
        <v>0</v>
      </c>
      <c r="BH175" s="32">
        <f t="shared" si="2095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96"/>
        <v>7049.166666666667</v>
      </c>
      <c r="BR175" s="95">
        <f t="shared" si="2097"/>
        <v>12178</v>
      </c>
      <c r="BS175" s="133">
        <f t="shared" si="2098"/>
        <v>3763</v>
      </c>
      <c r="BT175" s="133">
        <f t="shared" si="2098"/>
        <v>-4104</v>
      </c>
      <c r="BU175" s="133">
        <f t="shared" si="2098"/>
        <v>-16346</v>
      </c>
      <c r="BV175" s="133">
        <f t="shared" si="2098"/>
        <v>-19286</v>
      </c>
      <c r="BW175" s="133">
        <f t="shared" si="2098"/>
        <v>-22857</v>
      </c>
      <c r="BX175" s="133">
        <f t="shared" si="2138"/>
        <v>-29906.166666666668</v>
      </c>
      <c r="BY175" s="133">
        <f t="shared" si="2138"/>
        <v>-36955.333333333336</v>
      </c>
      <c r="BZ175" s="133">
        <f t="shared" si="2138"/>
        <v>-44004.5</v>
      </c>
      <c r="CA175" s="133">
        <f t="shared" si="2138"/>
        <v>-51053.666666666664</v>
      </c>
      <c r="CB175" s="133">
        <f t="shared" si="2138"/>
        <v>-58102.833333333328</v>
      </c>
      <c r="CC175" s="133">
        <f t="shared" si="2138"/>
        <v>-65151.999999999993</v>
      </c>
      <c r="CD175" s="133">
        <f t="shared" si="2138"/>
        <v>-72201.166666666657</v>
      </c>
      <c r="CE175" s="133">
        <f t="shared" si="2138"/>
        <v>-79250.333333333328</v>
      </c>
      <c r="CF175" s="133">
        <f t="shared" si="2138"/>
        <v>-86299.5</v>
      </c>
      <c r="CG175" s="133">
        <f t="shared" si="2138"/>
        <v>-93348.666666666672</v>
      </c>
      <c r="CH175" s="133">
        <f t="shared" si="2138"/>
        <v>-100397.83333333334</v>
      </c>
      <c r="CI175" s="133">
        <f t="shared" si="2138"/>
        <v>-107447.00000000001</v>
      </c>
      <c r="CJ175" s="133">
        <f t="shared" si="2138"/>
        <v>-114496.16666666669</v>
      </c>
      <c r="CK175" s="133">
        <f t="shared" si="2138"/>
        <v>-121545.33333333336</v>
      </c>
      <c r="CL175" s="133">
        <f t="shared" si="2138"/>
        <v>-128594.50000000003</v>
      </c>
      <c r="CM175" s="133">
        <f t="shared" si="2138"/>
        <v>-135643.66666666669</v>
      </c>
      <c r="CN175" s="133">
        <f t="shared" si="2138"/>
        <v>-142692.83333333334</v>
      </c>
      <c r="CO175" s="133">
        <f t="shared" si="2138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100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40">IFERROR(CZ175/CY175,0)</f>
        <v>0</v>
      </c>
      <c r="DB175" s="4">
        <f t="shared" ref="DB175:DB182" si="2141">CY175*FH175</f>
        <v>0</v>
      </c>
      <c r="DC175" s="4">
        <f t="shared" ref="DC175:DC182" si="2142">CZ175*FH175</f>
        <v>0</v>
      </c>
      <c r="DD175" s="136">
        <f t="shared" ref="DD175:DD182" si="2143">IFERROR(DC175/DB175,0)</f>
        <v>0</v>
      </c>
      <c r="DE175" s="31">
        <v>0</v>
      </c>
      <c r="DG175" s="31">
        <v>0</v>
      </c>
      <c r="DH175" s="48">
        <f t="shared" si="2117"/>
        <v>0</v>
      </c>
      <c r="DI175" s="62">
        <v>32513.903000000002</v>
      </c>
      <c r="DJ175" s="62">
        <v>1067035.034</v>
      </c>
      <c r="DK175" s="48">
        <f t="shared" si="2101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102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103"/>
        <v>124</v>
      </c>
      <c r="DV175" s="62">
        <v>408</v>
      </c>
      <c r="DW175" s="62">
        <v>13389.569726775957</v>
      </c>
      <c r="DX175" s="62">
        <f t="shared" si="2118"/>
        <v>0</v>
      </c>
      <c r="DY175" s="62">
        <f t="shared" si="2104"/>
        <v>0</v>
      </c>
      <c r="DZ175" s="48">
        <f t="shared" si="2119"/>
        <v>0</v>
      </c>
      <c r="EA175" s="62">
        <f t="shared" si="2120"/>
        <v>0</v>
      </c>
      <c r="EB175" s="62">
        <f t="shared" si="2105"/>
        <v>0</v>
      </c>
      <c r="EC175" s="48">
        <f t="shared" si="2121"/>
        <v>0</v>
      </c>
      <c r="ED175" s="62">
        <f t="shared" si="2122"/>
        <v>0</v>
      </c>
      <c r="EE175" s="62">
        <f t="shared" si="2106"/>
        <v>0</v>
      </c>
      <c r="EF175" s="48">
        <f t="shared" si="2123"/>
        <v>0</v>
      </c>
      <c r="EG175" s="62">
        <f t="shared" si="2124"/>
        <v>0</v>
      </c>
      <c r="EH175" s="62">
        <f t="shared" si="2107"/>
        <v>0</v>
      </c>
      <c r="EI175" s="48">
        <f t="shared" si="2125"/>
        <v>0</v>
      </c>
      <c r="EJ175" s="62">
        <f t="shared" si="2126"/>
        <v>0</v>
      </c>
      <c r="EK175" s="62">
        <f t="shared" si="2108"/>
        <v>0</v>
      </c>
      <c r="EL175" s="48">
        <f t="shared" si="2127"/>
        <v>0</v>
      </c>
      <c r="EM175" s="62">
        <f t="shared" si="2128"/>
        <v>0</v>
      </c>
      <c r="EN175" s="62">
        <f t="shared" si="2109"/>
        <v>0</v>
      </c>
      <c r="EO175" s="48">
        <f t="shared" si="2129"/>
        <v>0</v>
      </c>
      <c r="EP175" s="62">
        <f t="shared" si="2139"/>
        <v>238273.2</v>
      </c>
      <c r="EQ175" s="62">
        <f t="shared" si="2139"/>
        <v>276180.3</v>
      </c>
      <c r="ER175" s="62">
        <f t="shared" si="2139"/>
        <v>258194.94</v>
      </c>
      <c r="ES175" s="62">
        <f t="shared" si="2137"/>
        <v>401782.44</v>
      </c>
      <c r="ET175" s="62">
        <f t="shared" si="2137"/>
        <v>96490.8</v>
      </c>
      <c r="EU175" s="62">
        <f t="shared" si="2137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110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 t="shared" si="1821"/>
        <v>1</v>
      </c>
      <c r="FS175" s="120" t="b">
        <f t="shared" si="1822"/>
        <v>1</v>
      </c>
      <c r="FT175" s="120" t="b">
        <f t="shared" si="1823"/>
        <v>1</v>
      </c>
      <c r="FU175" s="120" t="b">
        <f t="shared" si="1824"/>
        <v>1</v>
      </c>
      <c r="FV175" s="120" t="b">
        <f t="shared" si="1825"/>
        <v>1</v>
      </c>
      <c r="FW175" s="104" t="b">
        <f t="shared" si="1881"/>
        <v>0</v>
      </c>
      <c r="FX175" s="120" t="b">
        <f t="shared" si="2130"/>
        <v>1</v>
      </c>
      <c r="FY175" s="104" t="s">
        <v>214</v>
      </c>
      <c r="FZ175" s="104" t="b">
        <f t="shared" si="2131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32"/>
        <v>1</v>
      </c>
      <c r="GI175" s="8" t="b">
        <f t="shared" si="2133"/>
        <v>0</v>
      </c>
    </row>
    <row r="176" spans="1:192" ht="30" hidden="1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82"/>
        <v>нет минмакс</v>
      </c>
      <c r="Q176" s="95">
        <v>877.59698486328125</v>
      </c>
      <c r="R176" s="95">
        <f t="shared" si="2134"/>
        <v>115167.05232360838</v>
      </c>
      <c r="S176" s="114">
        <v>5586.0458984375</v>
      </c>
      <c r="T176" s="114">
        <v>820031.53789062507</v>
      </c>
      <c r="U176" s="131">
        <f t="shared" si="2083"/>
        <v>0</v>
      </c>
      <c r="V176" s="115">
        <f t="shared" si="2111"/>
        <v>7338.114013671875</v>
      </c>
      <c r="W176" s="115">
        <f t="shared" si="2084"/>
        <v>962980.70201416011</v>
      </c>
      <c r="X176" s="115">
        <f t="shared" si="2085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86"/>
        <v>0</v>
      </c>
      <c r="AF176" s="95">
        <f t="shared" si="2087"/>
        <v>0</v>
      </c>
      <c r="AG176" s="114">
        <v>0</v>
      </c>
      <c r="AH176" s="95">
        <f t="shared" si="2112"/>
        <v>7338.114013671875</v>
      </c>
      <c r="AI176" s="114">
        <f t="shared" si="2088"/>
        <v>962980.70201416011</v>
      </c>
      <c r="AJ176" s="114">
        <f t="shared" si="2113"/>
        <v>70088</v>
      </c>
      <c r="AK176" s="114">
        <f t="shared" si="2135"/>
        <v>208545</v>
      </c>
      <c r="AL176" s="114">
        <f t="shared" si="2114"/>
        <v>344973</v>
      </c>
      <c r="AM176" s="114">
        <f t="shared" si="2115"/>
        <v>0</v>
      </c>
      <c r="AN176" s="133" t="str">
        <f t="shared" si="2089"/>
        <v>нет оборота</v>
      </c>
      <c r="AO176" s="133" t="str">
        <f t="shared" si="2090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91"/>
        <v>Нет планов</v>
      </c>
      <c r="AW176" s="126">
        <f t="shared" si="2092"/>
        <v>962980.70201416011</v>
      </c>
      <c r="AX176" s="138"/>
      <c r="AY176" s="115">
        <f t="shared" si="2093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94"/>
        <v>0</v>
      </c>
      <c r="BG176" s="32">
        <v>0</v>
      </c>
      <c r="BH176" s="32">
        <f t="shared" si="2095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96"/>
        <v>0</v>
      </c>
      <c r="BR176" s="95">
        <f t="shared" si="2097"/>
        <v>7338.114013671875</v>
      </c>
      <c r="BS176" s="133">
        <f t="shared" ref="BS176:BW182" si="2144">BR176-BL176</f>
        <v>7338.114013671875</v>
      </c>
      <c r="BT176" s="133">
        <f t="shared" si="2144"/>
        <v>7338.114013671875</v>
      </c>
      <c r="BU176" s="133">
        <f t="shared" si="2144"/>
        <v>7338.114013671875</v>
      </c>
      <c r="BV176" s="133">
        <f t="shared" si="2144"/>
        <v>7338.114013671875</v>
      </c>
      <c r="BW176" s="133">
        <f t="shared" si="2144"/>
        <v>7338.114013671875</v>
      </c>
      <c r="BX176" s="133">
        <f t="shared" ref="BX176:CO177" si="2145">BW176-$BQ176</f>
        <v>7338.114013671875</v>
      </c>
      <c r="BY176" s="133">
        <f t="shared" si="2145"/>
        <v>7338.114013671875</v>
      </c>
      <c r="BZ176" s="133">
        <f t="shared" si="2145"/>
        <v>7338.114013671875</v>
      </c>
      <c r="CA176" s="133">
        <f t="shared" si="2145"/>
        <v>7338.114013671875</v>
      </c>
      <c r="CB176" s="133">
        <f t="shared" si="2145"/>
        <v>7338.114013671875</v>
      </c>
      <c r="CC176" s="133">
        <f t="shared" si="2145"/>
        <v>7338.114013671875</v>
      </c>
      <c r="CD176" s="133">
        <f t="shared" si="2145"/>
        <v>7338.114013671875</v>
      </c>
      <c r="CE176" s="133">
        <f t="shared" si="2145"/>
        <v>7338.114013671875</v>
      </c>
      <c r="CF176" s="133">
        <f t="shared" si="2145"/>
        <v>7338.114013671875</v>
      </c>
      <c r="CG176" s="133">
        <f t="shared" si="2145"/>
        <v>7338.114013671875</v>
      </c>
      <c r="CH176" s="133">
        <f t="shared" si="2145"/>
        <v>7338.114013671875</v>
      </c>
      <c r="CI176" s="133">
        <f t="shared" si="2145"/>
        <v>7338.114013671875</v>
      </c>
      <c r="CJ176" s="133">
        <f t="shared" si="2145"/>
        <v>7338.114013671875</v>
      </c>
      <c r="CK176" s="133">
        <f t="shared" si="2145"/>
        <v>7338.114013671875</v>
      </c>
      <c r="CL176" s="133">
        <f t="shared" si="2145"/>
        <v>7338.114013671875</v>
      </c>
      <c r="CM176" s="133">
        <f t="shared" si="2145"/>
        <v>7338.114013671875</v>
      </c>
      <c r="CN176" s="133">
        <f t="shared" si="2145"/>
        <v>7338.114013671875</v>
      </c>
      <c r="CO176" s="133">
        <f t="shared" si="2145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100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40"/>
        <v>0</v>
      </c>
      <c r="DB176" s="4">
        <f t="shared" si="2141"/>
        <v>0</v>
      </c>
      <c r="DC176" s="4">
        <f t="shared" si="2142"/>
        <v>0</v>
      </c>
      <c r="DD176" s="136">
        <f t="shared" si="2143"/>
        <v>0</v>
      </c>
      <c r="DE176" s="31">
        <v>0</v>
      </c>
      <c r="DG176" s="31">
        <v>0</v>
      </c>
      <c r="DH176" s="48">
        <f t="shared" si="2117"/>
        <v>0</v>
      </c>
      <c r="DI176" s="62">
        <v>3874.8159999999998</v>
      </c>
      <c r="DJ176" s="62">
        <v>556030.31799999997</v>
      </c>
      <c r="DK176" s="48">
        <f t="shared" si="2101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102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103"/>
        <v>0</v>
      </c>
      <c r="DV176" s="62">
        <v>69051.147000000026</v>
      </c>
      <c r="DW176" s="62">
        <v>10226108.623173768</v>
      </c>
      <c r="DX176" s="62">
        <f t="shared" si="2118"/>
        <v>0</v>
      </c>
      <c r="DY176" s="62">
        <f t="shared" si="2104"/>
        <v>0</v>
      </c>
      <c r="DZ176" s="48">
        <f t="shared" si="2119"/>
        <v>0</v>
      </c>
      <c r="EA176" s="62">
        <f t="shared" si="2120"/>
        <v>0</v>
      </c>
      <c r="EB176" s="62">
        <f t="shared" si="2105"/>
        <v>0</v>
      </c>
      <c r="EC176" s="48">
        <f t="shared" si="2121"/>
        <v>0</v>
      </c>
      <c r="ED176" s="62">
        <f t="shared" si="2122"/>
        <v>0</v>
      </c>
      <c r="EE176" s="62">
        <f t="shared" si="2106"/>
        <v>0</v>
      </c>
      <c r="EF176" s="48">
        <f t="shared" si="2123"/>
        <v>0</v>
      </c>
      <c r="EG176" s="62">
        <f t="shared" si="2124"/>
        <v>0</v>
      </c>
      <c r="EH176" s="62">
        <f t="shared" si="2107"/>
        <v>0</v>
      </c>
      <c r="EI176" s="48">
        <f t="shared" si="2125"/>
        <v>0</v>
      </c>
      <c r="EJ176" s="62">
        <f t="shared" si="2126"/>
        <v>0</v>
      </c>
      <c r="EK176" s="62">
        <f t="shared" si="2108"/>
        <v>0</v>
      </c>
      <c r="EL176" s="48">
        <f t="shared" si="2127"/>
        <v>0</v>
      </c>
      <c r="EM176" s="62">
        <f t="shared" si="2128"/>
        <v>0</v>
      </c>
      <c r="EN176" s="62">
        <f t="shared" si="2109"/>
        <v>0</v>
      </c>
      <c r="EO176" s="48">
        <f t="shared" si="2129"/>
        <v>0</v>
      </c>
      <c r="EP176" s="62">
        <f t="shared" si="2139"/>
        <v>0</v>
      </c>
      <c r="EQ176" s="62">
        <f t="shared" si="2139"/>
        <v>0</v>
      </c>
      <c r="ER176" s="62">
        <f t="shared" si="2139"/>
        <v>0</v>
      </c>
      <c r="ES176" s="62">
        <f t="shared" si="2137"/>
        <v>0</v>
      </c>
      <c r="ET176" s="62">
        <f t="shared" si="2137"/>
        <v>0</v>
      </c>
      <c r="EU176" s="62">
        <f t="shared" si="2137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110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 t="shared" si="1821"/>
        <v>1</v>
      </c>
      <c r="FS176" s="120" t="b">
        <f t="shared" si="1822"/>
        <v>1</v>
      </c>
      <c r="FT176" s="120" t="b">
        <f t="shared" si="1823"/>
        <v>1</v>
      </c>
      <c r="FU176" s="120" t="b">
        <f t="shared" si="1824"/>
        <v>1</v>
      </c>
      <c r="FV176" s="120" t="b">
        <f t="shared" si="1825"/>
        <v>1</v>
      </c>
      <c r="FW176" s="104" t="b">
        <f t="shared" si="1881"/>
        <v>0</v>
      </c>
      <c r="FX176" s="120" t="b">
        <f t="shared" si="2130"/>
        <v>1</v>
      </c>
      <c r="FY176" s="104" t="s">
        <v>368</v>
      </c>
      <c r="FZ176" s="104" t="b">
        <f t="shared" si="2131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32"/>
        <v>1</v>
      </c>
      <c r="GI176" s="8" t="b">
        <f t="shared" si="2133"/>
        <v>0</v>
      </c>
      <c r="GJ176" s="31" t="s">
        <v>203</v>
      </c>
    </row>
    <row r="177" spans="1:192" hidden="1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82"/>
        <v>нет минмакс</v>
      </c>
      <c r="Q177" s="95">
        <v>5987</v>
      </c>
      <c r="R177" s="95">
        <f t="shared" si="2134"/>
        <v>176257.28</v>
      </c>
      <c r="S177" s="114">
        <v>27213</v>
      </c>
      <c r="T177" s="114">
        <v>811219.52999999991</v>
      </c>
      <c r="U177" s="131">
        <f t="shared" si="2083"/>
        <v>120</v>
      </c>
      <c r="V177" s="115">
        <f t="shared" si="2111"/>
        <v>23518</v>
      </c>
      <c r="W177" s="115">
        <f t="shared" si="2084"/>
        <v>692369.92000000004</v>
      </c>
      <c r="X177" s="115">
        <f t="shared" si="2085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86"/>
        <v>0</v>
      </c>
      <c r="AF177" s="95">
        <f t="shared" si="2087"/>
        <v>0</v>
      </c>
      <c r="AG177" s="114">
        <v>0</v>
      </c>
      <c r="AH177" s="95">
        <f t="shared" si="2112"/>
        <v>23518</v>
      </c>
      <c r="AI177" s="114">
        <f t="shared" si="2088"/>
        <v>692369.92000000004</v>
      </c>
      <c r="AJ177" s="114">
        <f t="shared" si="2113"/>
        <v>31479</v>
      </c>
      <c r="AK177" s="114">
        <f t="shared" si="2135"/>
        <v>81610</v>
      </c>
      <c r="AL177" s="114">
        <f t="shared" si="2114"/>
        <v>179075</v>
      </c>
      <c r="AM177" s="114">
        <f t="shared" si="2115"/>
        <v>263565</v>
      </c>
      <c r="AN177" s="133">
        <f t="shared" si="2089"/>
        <v>18.584941096124293</v>
      </c>
      <c r="AO177" s="133" t="str">
        <f t="shared" si="2090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91"/>
        <v>0-01</v>
      </c>
      <c r="AW177" s="126">
        <f t="shared" si="2092"/>
        <v>0</v>
      </c>
      <c r="AX177" s="138"/>
      <c r="AY177" s="115">
        <f t="shared" si="2093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94"/>
        <v>0</v>
      </c>
      <c r="BG177" s="32">
        <v>0</v>
      </c>
      <c r="BH177" s="32">
        <f t="shared" si="2095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96"/>
        <v>43927.5</v>
      </c>
      <c r="BR177" s="95">
        <f t="shared" si="2097"/>
        <v>-11026</v>
      </c>
      <c r="BS177" s="133">
        <f t="shared" si="2144"/>
        <v>-56007</v>
      </c>
      <c r="BT177" s="133">
        <f t="shared" si="2144"/>
        <v>-101525</v>
      </c>
      <c r="BU177" s="133">
        <f t="shared" si="2144"/>
        <v>-147341</v>
      </c>
      <c r="BV177" s="133">
        <f t="shared" si="2144"/>
        <v>-193694</v>
      </c>
      <c r="BW177" s="133">
        <f t="shared" si="2144"/>
        <v>-240047</v>
      </c>
      <c r="BX177" s="133">
        <f t="shared" si="2145"/>
        <v>-283974.5</v>
      </c>
      <c r="BY177" s="133">
        <f t="shared" si="2145"/>
        <v>-327902</v>
      </c>
      <c r="BZ177" s="133">
        <f t="shared" si="2145"/>
        <v>-371829.5</v>
      </c>
      <c r="CA177" s="133">
        <f t="shared" si="2145"/>
        <v>-415757</v>
      </c>
      <c r="CB177" s="133">
        <f t="shared" si="2145"/>
        <v>-459684.5</v>
      </c>
      <c r="CC177" s="133">
        <f t="shared" si="2145"/>
        <v>-503612</v>
      </c>
      <c r="CD177" s="133">
        <f t="shared" si="2145"/>
        <v>-547539.5</v>
      </c>
      <c r="CE177" s="133">
        <f t="shared" si="2145"/>
        <v>-591467</v>
      </c>
      <c r="CF177" s="133">
        <f t="shared" si="2145"/>
        <v>-635394.5</v>
      </c>
      <c r="CG177" s="133">
        <f t="shared" si="2145"/>
        <v>-679322</v>
      </c>
      <c r="CH177" s="133">
        <f t="shared" si="2145"/>
        <v>-723249.5</v>
      </c>
      <c r="CI177" s="133">
        <f t="shared" si="2145"/>
        <v>-767177</v>
      </c>
      <c r="CJ177" s="133">
        <f t="shared" si="2145"/>
        <v>-811104.5</v>
      </c>
      <c r="CK177" s="133">
        <f t="shared" si="2145"/>
        <v>-855032</v>
      </c>
      <c r="CL177" s="133">
        <f t="shared" si="2145"/>
        <v>-898959.5</v>
      </c>
      <c r="CM177" s="133">
        <f t="shared" si="2145"/>
        <v>-942887</v>
      </c>
      <c r="CN177" s="133">
        <f t="shared" si="2145"/>
        <v>-986814.5</v>
      </c>
      <c r="CO177" s="133">
        <f t="shared" si="2145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100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40"/>
        <v>0</v>
      </c>
      <c r="DB177" s="4">
        <f t="shared" si="2141"/>
        <v>0</v>
      </c>
      <c r="DC177" s="4">
        <f t="shared" si="2142"/>
        <v>0</v>
      </c>
      <c r="DD177" s="136">
        <f t="shared" si="2143"/>
        <v>0</v>
      </c>
      <c r="DE177" s="31">
        <v>0</v>
      </c>
      <c r="DG177" s="31">
        <v>0</v>
      </c>
      <c r="DH177" s="48">
        <f t="shared" si="2117"/>
        <v>0</v>
      </c>
      <c r="DI177" s="62">
        <v>13594.547999999999</v>
      </c>
      <c r="DJ177" s="62">
        <v>400122.935</v>
      </c>
      <c r="DK177" s="48">
        <f t="shared" si="2101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102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103"/>
        <v>123</v>
      </c>
      <c r="DV177" s="62">
        <v>18424</v>
      </c>
      <c r="DW177" s="62">
        <v>550053.69413074793</v>
      </c>
      <c r="DX177" s="62">
        <f t="shared" si="2118"/>
        <v>0</v>
      </c>
      <c r="DY177" s="62">
        <f t="shared" si="2104"/>
        <v>0</v>
      </c>
      <c r="DZ177" s="48">
        <f t="shared" si="2119"/>
        <v>0</v>
      </c>
      <c r="EA177" s="62">
        <f t="shared" si="2120"/>
        <v>0</v>
      </c>
      <c r="EB177" s="62">
        <f t="shared" si="2105"/>
        <v>0</v>
      </c>
      <c r="EC177" s="48">
        <f t="shared" si="2121"/>
        <v>0</v>
      </c>
      <c r="ED177" s="62">
        <f t="shared" si="2122"/>
        <v>0</v>
      </c>
      <c r="EE177" s="62">
        <f t="shared" si="2106"/>
        <v>0</v>
      </c>
      <c r="EF177" s="48">
        <f t="shared" si="2123"/>
        <v>0</v>
      </c>
      <c r="EG177" s="62">
        <f t="shared" si="2124"/>
        <v>0</v>
      </c>
      <c r="EH177" s="62">
        <f t="shared" si="2107"/>
        <v>0</v>
      </c>
      <c r="EI177" s="48">
        <f t="shared" si="2125"/>
        <v>0</v>
      </c>
      <c r="EJ177" s="62">
        <f t="shared" si="2126"/>
        <v>0</v>
      </c>
      <c r="EK177" s="62">
        <f t="shared" si="2108"/>
        <v>0</v>
      </c>
      <c r="EL177" s="48">
        <f t="shared" si="2127"/>
        <v>0</v>
      </c>
      <c r="EM177" s="62">
        <f t="shared" si="2128"/>
        <v>0</v>
      </c>
      <c r="EN177" s="62">
        <f t="shared" si="2109"/>
        <v>0</v>
      </c>
      <c r="EO177" s="48">
        <f t="shared" si="2129"/>
        <v>0</v>
      </c>
      <c r="EP177" s="62">
        <f t="shared" si="2139"/>
        <v>1016975.36</v>
      </c>
      <c r="EQ177" s="62">
        <f t="shared" si="2139"/>
        <v>1324240.6400000001</v>
      </c>
      <c r="ER177" s="62">
        <f t="shared" si="2139"/>
        <v>1340049.9200000002</v>
      </c>
      <c r="ES177" s="62">
        <f t="shared" si="2137"/>
        <v>1348823.04</v>
      </c>
      <c r="ET177" s="62">
        <f t="shared" si="2137"/>
        <v>1364632.32</v>
      </c>
      <c r="EU177" s="62">
        <f t="shared" si="2137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110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 t="shared" si="1821"/>
        <v>1</v>
      </c>
      <c r="FS177" s="120" t="b">
        <f t="shared" si="1822"/>
        <v>1</v>
      </c>
      <c r="FT177" s="120" t="b">
        <f t="shared" si="1823"/>
        <v>1</v>
      </c>
      <c r="FU177" s="120" t="b">
        <f t="shared" si="1824"/>
        <v>1</v>
      </c>
      <c r="FV177" s="120" t="b">
        <f t="shared" si="1825"/>
        <v>1</v>
      </c>
      <c r="FW177" s="104" t="b">
        <f t="shared" si="1881"/>
        <v>0</v>
      </c>
      <c r="FX177" s="120" t="b">
        <f t="shared" si="2130"/>
        <v>1</v>
      </c>
      <c r="FY177" s="104" t="s">
        <v>368</v>
      </c>
      <c r="FZ177" s="104" t="b">
        <f t="shared" si="2131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32"/>
        <v>1</v>
      </c>
      <c r="GI177" s="8" t="b">
        <f t="shared" si="2133"/>
        <v>0</v>
      </c>
      <c r="GJ177" s="31" t="s">
        <v>203</v>
      </c>
    </row>
    <row r="178" spans="1:192" hidden="1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82"/>
        <v>в диапазоне</v>
      </c>
      <c r="Q178" s="95">
        <v>0</v>
      </c>
      <c r="R178" s="95">
        <f t="shared" si="2134"/>
        <v>0</v>
      </c>
      <c r="S178" s="131">
        <v>6380.8017578125</v>
      </c>
      <c r="T178" s="131">
        <v>1046451.48828125</v>
      </c>
      <c r="U178" s="131">
        <f t="shared" si="2083"/>
        <v>9</v>
      </c>
      <c r="V178" s="113">
        <f t="shared" si="2111"/>
        <v>0</v>
      </c>
      <c r="W178" s="113">
        <f t="shared" si="2084"/>
        <v>0</v>
      </c>
      <c r="X178" s="113">
        <f t="shared" si="2085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86"/>
        <v>0</v>
      </c>
      <c r="AF178" s="95">
        <f t="shared" si="2087"/>
        <v>0</v>
      </c>
      <c r="AG178" s="114">
        <v>0</v>
      </c>
      <c r="AH178" s="95">
        <f t="shared" si="2112"/>
        <v>0</v>
      </c>
      <c r="AI178" s="114">
        <f t="shared" si="2088"/>
        <v>0</v>
      </c>
      <c r="AJ178" s="133">
        <f t="shared" si="2113"/>
        <v>4894</v>
      </c>
      <c r="AK178" s="133">
        <f t="shared" si="2135"/>
        <v>46208</v>
      </c>
      <c r="AL178" s="133">
        <f t="shared" si="2114"/>
        <v>46208</v>
      </c>
      <c r="AM178" s="133">
        <f t="shared" si="2115"/>
        <v>79655.44</v>
      </c>
      <c r="AN178" s="133">
        <f t="shared" si="2089"/>
        <v>14.418906184012666</v>
      </c>
      <c r="AO178" s="133" t="str">
        <f t="shared" si="2090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91"/>
        <v>нет остатка</v>
      </c>
      <c r="AW178" s="117">
        <f t="shared" si="2092"/>
        <v>0</v>
      </c>
      <c r="AX178" s="14"/>
      <c r="AY178" s="25">
        <f t="shared" si="2093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94"/>
        <v>0</v>
      </c>
      <c r="BG178" s="32">
        <v>0</v>
      </c>
      <c r="BH178" s="32">
        <f t="shared" si="2095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96"/>
        <v>13275.906666666668</v>
      </c>
      <c r="BR178" s="95">
        <f t="shared" si="2097"/>
        <v>-5925.14</v>
      </c>
      <c r="BS178" s="133">
        <f t="shared" si="2144"/>
        <v>-18156.52</v>
      </c>
      <c r="BT178" s="133">
        <f t="shared" si="2144"/>
        <v>-33471.919999999998</v>
      </c>
      <c r="BU178" s="133">
        <f t="shared" si="2144"/>
        <v>-48999.839999999997</v>
      </c>
      <c r="BV178" s="133">
        <f t="shared" si="2144"/>
        <v>-64374.299999999996</v>
      </c>
      <c r="BW178" s="133">
        <f t="shared" si="2144"/>
        <v>-79655.44</v>
      </c>
      <c r="BX178" s="133">
        <f t="shared" ref="BX178:CO181" si="2146">BW178-$BQ178</f>
        <v>-92931.346666666665</v>
      </c>
      <c r="BY178" s="133">
        <f t="shared" si="2146"/>
        <v>-106207.25333333333</v>
      </c>
      <c r="BZ178" s="133">
        <f t="shared" si="2146"/>
        <v>-119483.15999999999</v>
      </c>
      <c r="CA178" s="133">
        <f t="shared" si="2146"/>
        <v>-132759.06666666665</v>
      </c>
      <c r="CB178" s="133">
        <f t="shared" si="2146"/>
        <v>-146034.97333333333</v>
      </c>
      <c r="CC178" s="133">
        <f t="shared" si="2146"/>
        <v>-159310.88</v>
      </c>
      <c r="CD178" s="133">
        <f t="shared" si="2146"/>
        <v>-172586.78666666668</v>
      </c>
      <c r="CE178" s="133">
        <f t="shared" si="2146"/>
        <v>-185862.69333333336</v>
      </c>
      <c r="CF178" s="133">
        <f t="shared" si="2146"/>
        <v>-199138.60000000003</v>
      </c>
      <c r="CG178" s="133">
        <f t="shared" si="2146"/>
        <v>-212414.50666666671</v>
      </c>
      <c r="CH178" s="133">
        <f t="shared" si="2146"/>
        <v>-225690.41333333339</v>
      </c>
      <c r="CI178" s="133">
        <f t="shared" si="2146"/>
        <v>-238966.32000000007</v>
      </c>
      <c r="CJ178" s="133">
        <f t="shared" si="2146"/>
        <v>-252242.22666666674</v>
      </c>
      <c r="CK178" s="133">
        <f t="shared" si="2146"/>
        <v>-265518.13333333342</v>
      </c>
      <c r="CL178" s="133">
        <f t="shared" si="2146"/>
        <v>-278794.0400000001</v>
      </c>
      <c r="CM178" s="133">
        <f t="shared" si="2146"/>
        <v>-292069.94666666677</v>
      </c>
      <c r="CN178" s="133">
        <f t="shared" si="2146"/>
        <v>-305345.85333333345</v>
      </c>
      <c r="CO178" s="133">
        <f t="shared" si="2146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100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40"/>
        <v>0</v>
      </c>
      <c r="DB178" s="4">
        <f t="shared" si="2141"/>
        <v>0</v>
      </c>
      <c r="DC178" s="4">
        <f t="shared" si="2142"/>
        <v>0</v>
      </c>
      <c r="DD178" s="136">
        <f t="shared" si="2143"/>
        <v>0</v>
      </c>
      <c r="DE178" s="31">
        <v>0</v>
      </c>
      <c r="DF178" s="31">
        <v>30</v>
      </c>
      <c r="DG178" s="31">
        <v>15750</v>
      </c>
      <c r="DH178" s="48">
        <f t="shared" si="2117"/>
        <v>21</v>
      </c>
      <c r="DI178" s="62">
        <v>0</v>
      </c>
      <c r="DJ178" s="62">
        <v>0</v>
      </c>
      <c r="DK178" s="48">
        <f t="shared" si="2101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102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103"/>
        <v>10.5</v>
      </c>
      <c r="DV178" s="62">
        <v>14994.198</v>
      </c>
      <c r="DW178" s="62">
        <v>2459048.530508168</v>
      </c>
      <c r="DX178" s="62">
        <f t="shared" si="2118"/>
        <v>5925.14</v>
      </c>
      <c r="DY178" s="62">
        <f t="shared" si="2104"/>
        <v>948614.91399999999</v>
      </c>
      <c r="DZ178" s="48">
        <f t="shared" si="2119"/>
        <v>9</v>
      </c>
      <c r="EA178" s="62">
        <f t="shared" si="2120"/>
        <v>12231.38</v>
      </c>
      <c r="EB178" s="62">
        <f t="shared" si="2105"/>
        <v>1958243.9379999998</v>
      </c>
      <c r="EC178" s="48">
        <f t="shared" si="2121"/>
        <v>16.5</v>
      </c>
      <c r="ED178" s="62">
        <f t="shared" si="2122"/>
        <v>15315.4</v>
      </c>
      <c r="EE178" s="62">
        <f t="shared" si="2106"/>
        <v>2451995.54</v>
      </c>
      <c r="EF178" s="48">
        <f t="shared" si="2123"/>
        <v>21</v>
      </c>
      <c r="EG178" s="62">
        <f t="shared" si="2124"/>
        <v>15527.92</v>
      </c>
      <c r="EH178" s="62">
        <f t="shared" si="2107"/>
        <v>2486019.9920000001</v>
      </c>
      <c r="EI178" s="48">
        <f t="shared" si="2125"/>
        <v>21</v>
      </c>
      <c r="EJ178" s="62">
        <f t="shared" si="2126"/>
        <v>15374.46</v>
      </c>
      <c r="EK178" s="62">
        <f t="shared" si="2108"/>
        <v>2461451.0459999996</v>
      </c>
      <c r="EL178" s="48">
        <f t="shared" si="2127"/>
        <v>21</v>
      </c>
      <c r="EM178" s="62">
        <f t="shared" si="2128"/>
        <v>15281.139999999998</v>
      </c>
      <c r="EN178" s="62">
        <f t="shared" si="2109"/>
        <v>2446510.5139999995</v>
      </c>
      <c r="EO178" s="48">
        <f t="shared" si="2129"/>
        <v>21</v>
      </c>
      <c r="EP178" s="62">
        <f t="shared" si="2139"/>
        <v>948614.91399999999</v>
      </c>
      <c r="EQ178" s="62">
        <f t="shared" si="2139"/>
        <v>1958243.9379999998</v>
      </c>
      <c r="ER178" s="62">
        <f t="shared" si="2139"/>
        <v>2451995.54</v>
      </c>
      <c r="ES178" s="62">
        <f t="shared" si="2137"/>
        <v>2486019.9920000001</v>
      </c>
      <c r="ET178" s="62">
        <f t="shared" si="2137"/>
        <v>2461451.0459999996</v>
      </c>
      <c r="EU178" s="62">
        <f t="shared" si="2137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110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 t="shared" si="1821"/>
        <v>1</v>
      </c>
      <c r="FS178" s="103" t="b">
        <f t="shared" si="1822"/>
        <v>1</v>
      </c>
      <c r="FT178" s="103" t="b">
        <f t="shared" si="1823"/>
        <v>1</v>
      </c>
      <c r="FU178" s="103" t="b">
        <f t="shared" si="1824"/>
        <v>1</v>
      </c>
      <c r="FV178" s="103" t="b">
        <f t="shared" si="1825"/>
        <v>1</v>
      </c>
      <c r="FW178" s="104" t="b">
        <f t="shared" si="1881"/>
        <v>0</v>
      </c>
      <c r="FX178" s="120" t="b">
        <f t="shared" si="2130"/>
        <v>1</v>
      </c>
      <c r="FY178" s="104" t="s">
        <v>368</v>
      </c>
      <c r="FZ178" s="104" t="b">
        <f t="shared" si="2131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32"/>
        <v>1</v>
      </c>
      <c r="GI178" s="8" t="b">
        <f t="shared" si="2133"/>
        <v>0</v>
      </c>
      <c r="GJ178" s="31" t="s">
        <v>203</v>
      </c>
    </row>
    <row r="179" spans="1:192" hidden="1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47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48">Q179*FH179</f>
        <v>234225.88</v>
      </c>
      <c r="S179" s="114">
        <v>374104</v>
      </c>
      <c r="T179" s="114">
        <v>778136.32000000007</v>
      </c>
      <c r="U179" s="131">
        <f t="shared" ref="U179:U184" si="2149">IFERROR(ROUNDUP(S179/$EX179,0)*$EY179,0)</f>
        <v>14</v>
      </c>
      <c r="V179" s="115">
        <f t="shared" ref="V179:V184" si="2150">SUM(Z179:AD179)</f>
        <v>29811</v>
      </c>
      <c r="W179" s="115">
        <f t="shared" ref="W179:W184" si="2151">V179*FH179</f>
        <v>58429.56</v>
      </c>
      <c r="X179" s="115">
        <f t="shared" ref="X179:X184" si="2152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53">AA179*FH179</f>
        <v>0</v>
      </c>
      <c r="AF179" s="95">
        <f t="shared" ref="AF179:AF184" si="2154">AB179*FH179</f>
        <v>0</v>
      </c>
      <c r="AG179" s="114">
        <v>0</v>
      </c>
      <c r="AH179" s="95">
        <f t="shared" ref="AH179:AH184" si="2155">V179-AG179</f>
        <v>29811</v>
      </c>
      <c r="AI179" s="114">
        <f t="shared" ref="AI179:AI184" si="2156">IF(AH179&gt;0,AH179*FH179,0)</f>
        <v>58429.56</v>
      </c>
      <c r="AJ179" s="114">
        <f t="shared" ref="AJ179:AJ184" si="2157">CU179</f>
        <v>711388</v>
      </c>
      <c r="AK179" s="114">
        <f t="shared" si="2135"/>
        <v>1609008</v>
      </c>
      <c r="AL179" s="114">
        <f t="shared" ref="AL179:AL184" si="2158">SUM(CP179:CU179)</f>
        <v>2927477</v>
      </c>
      <c r="AM179" s="114">
        <f t="shared" ref="AM179:AM184" si="2159">SUM(BK179:BP179)</f>
        <v>3703930</v>
      </c>
      <c r="AN179" s="133">
        <f t="shared" ref="AN179:AN184" si="2160">IFERROR(S179/BQ179*30,"нет оборота")</f>
        <v>18.1803435810072</v>
      </c>
      <c r="AO179" s="133" t="str">
        <f t="shared" ref="AO179:AO184" si="2161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62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63">IF(AT179="Да",W179,0)</f>
        <v>0</v>
      </c>
      <c r="AX179" s="138"/>
      <c r="AY179" s="115">
        <f t="shared" ref="AY179:AY184" si="2164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65">BE179*FH179</f>
        <v>0</v>
      </c>
      <c r="BG179" s="32">
        <v>0</v>
      </c>
      <c r="BH179" s="32">
        <f t="shared" ref="BH179:BH184" si="2166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67">IF(COUNTIF(BK179:BP179,"&gt;0")=0,0,SUM(BK179:BP179)/COUNTIF(BK179:BP179,"&gt;0"))</f>
        <v>617321.66666666663</v>
      </c>
      <c r="BR179" s="95">
        <f t="shared" ref="BR179:BR184" si="2168">IF(OR(Q179=0,SUM(BK179:BP179)=0,V179&gt;Q179),V179-BK179,Q179-BK179)</f>
        <v>-398191</v>
      </c>
      <c r="BS179" s="133">
        <f t="shared" si="2144"/>
        <v>-1280154</v>
      </c>
      <c r="BT179" s="133">
        <f t="shared" si="2144"/>
        <v>-1883911</v>
      </c>
      <c r="BU179" s="133">
        <f t="shared" si="2144"/>
        <v>-2422422</v>
      </c>
      <c r="BV179" s="133">
        <f t="shared" si="2144"/>
        <v>-3047665</v>
      </c>
      <c r="BW179" s="133">
        <f t="shared" si="2144"/>
        <v>-3584427</v>
      </c>
      <c r="BX179" s="133">
        <f t="shared" si="2146"/>
        <v>-4201748.666666667</v>
      </c>
      <c r="BY179" s="133">
        <f t="shared" si="2146"/>
        <v>-4819070.333333334</v>
      </c>
      <c r="BZ179" s="133">
        <f t="shared" si="2146"/>
        <v>-5436392.0000000009</v>
      </c>
      <c r="CA179" s="133">
        <f t="shared" si="2146"/>
        <v>-6053713.6666666679</v>
      </c>
      <c r="CB179" s="133">
        <f t="shared" si="2146"/>
        <v>-6671035.3333333349</v>
      </c>
      <c r="CC179" s="133">
        <f t="shared" si="2146"/>
        <v>-7288357.0000000019</v>
      </c>
      <c r="CD179" s="133">
        <f t="shared" si="2146"/>
        <v>-7905678.6666666688</v>
      </c>
      <c r="CE179" s="133">
        <f t="shared" si="2146"/>
        <v>-8523000.3333333358</v>
      </c>
      <c r="CF179" s="133">
        <f t="shared" si="2146"/>
        <v>-9140322.0000000019</v>
      </c>
      <c r="CG179" s="133">
        <f t="shared" si="2146"/>
        <v>-9757643.6666666679</v>
      </c>
      <c r="CH179" s="133">
        <f t="shared" si="2146"/>
        <v>-10374965.333333334</v>
      </c>
      <c r="CI179" s="133">
        <f t="shared" si="2146"/>
        <v>-10992287</v>
      </c>
      <c r="CJ179" s="133">
        <f t="shared" si="2146"/>
        <v>-11609608.666666666</v>
      </c>
      <c r="CK179" s="133">
        <f t="shared" si="2146"/>
        <v>-12226930.333333332</v>
      </c>
      <c r="CL179" s="133">
        <f t="shared" si="2146"/>
        <v>-12844251.999999998</v>
      </c>
      <c r="CM179" s="133">
        <f t="shared" si="2146"/>
        <v>-13461573.666666664</v>
      </c>
      <c r="CN179" s="133">
        <f t="shared" si="2146"/>
        <v>-14078895.33333333</v>
      </c>
      <c r="CO179" s="133">
        <f t="shared" si="2146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69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40"/>
        <v>0</v>
      </c>
      <c r="DB179" s="4">
        <f t="shared" si="2141"/>
        <v>0</v>
      </c>
      <c r="DC179" s="4">
        <f t="shared" si="2142"/>
        <v>0</v>
      </c>
      <c r="DD179" s="136">
        <f t="shared" si="2143"/>
        <v>0</v>
      </c>
      <c r="DE179" s="31">
        <v>0</v>
      </c>
      <c r="DG179" s="31">
        <v>0</v>
      </c>
      <c r="DH179" s="48">
        <f t="shared" ref="DH179:DH184" si="2170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71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72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73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74">$DF179*BK179/30</f>
        <v>0</v>
      </c>
      <c r="DY179" s="62">
        <f t="shared" ref="DY179:DY184" si="2175">DX179*$FH179</f>
        <v>0</v>
      </c>
      <c r="DZ179" s="48">
        <f t="shared" ref="DZ179:DZ184" si="2176">IFERROR(ROUNDUP(DX179/$EX179,0)*$EY179,0)</f>
        <v>0</v>
      </c>
      <c r="EA179" s="62">
        <f t="shared" ref="EA179:EA184" si="2177">$DF179*BL179/30</f>
        <v>0</v>
      </c>
      <c r="EB179" s="62">
        <f t="shared" ref="EB179:EB184" si="2178">EA179*$FH179</f>
        <v>0</v>
      </c>
      <c r="EC179" s="48">
        <f t="shared" ref="EC179:EC184" si="2179">IFERROR(ROUNDUP(EA179/$EX179,0)*$EY179,0)</f>
        <v>0</v>
      </c>
      <c r="ED179" s="62">
        <f t="shared" ref="ED179:ED184" si="2180">$DF179*BM179/30</f>
        <v>0</v>
      </c>
      <c r="EE179" s="62">
        <f t="shared" ref="EE179:EE184" si="2181">ED179*$FH179</f>
        <v>0</v>
      </c>
      <c r="EF179" s="48">
        <f t="shared" ref="EF179:EF184" si="2182">IFERROR(ROUNDUP(ED179/$EX179,0)*$EY179,0)</f>
        <v>0</v>
      </c>
      <c r="EG179" s="62">
        <f t="shared" ref="EG179:EG184" si="2183">$DF179*BN179/30</f>
        <v>0</v>
      </c>
      <c r="EH179" s="62">
        <f t="shared" ref="EH179:EH184" si="2184">EG179*$FH179</f>
        <v>0</v>
      </c>
      <c r="EI179" s="48">
        <f t="shared" ref="EI179:EI184" si="2185">IFERROR(ROUNDUP(EG179/$EX179,0)*$EY179,0)</f>
        <v>0</v>
      </c>
      <c r="EJ179" s="62">
        <f t="shared" ref="EJ179:EJ184" si="2186">$DF179*BO179/30</f>
        <v>0</v>
      </c>
      <c r="EK179" s="62">
        <f t="shared" ref="EK179:EK184" si="2187">EJ179*$FH179</f>
        <v>0</v>
      </c>
      <c r="EL179" s="48">
        <f t="shared" ref="EL179:EL184" si="2188">IFERROR(ROUNDUP(EJ179/$EX179,0)*$EY179,0)</f>
        <v>0</v>
      </c>
      <c r="EM179" s="62">
        <f t="shared" ref="EM179:EM184" si="2189">$DF179*BP179/30</f>
        <v>0</v>
      </c>
      <c r="EN179" s="62">
        <f t="shared" ref="EN179:EN184" si="2190">EM179*$FH179</f>
        <v>0</v>
      </c>
      <c r="EO179" s="48">
        <f t="shared" ref="EO179:EO184" si="2191">IFERROR(ROUNDUP(EM179/$EX179,0)*$EY179,0)</f>
        <v>0</v>
      </c>
      <c r="EP179" s="62">
        <f t="shared" si="2139"/>
        <v>1014680.24</v>
      </c>
      <c r="EQ179" s="62">
        <f t="shared" si="2139"/>
        <v>1728647.48</v>
      </c>
      <c r="ER179" s="62">
        <f t="shared" si="2139"/>
        <v>1183363.72</v>
      </c>
      <c r="ES179" s="62">
        <f t="shared" si="2137"/>
        <v>1055481.56</v>
      </c>
      <c r="ET179" s="62">
        <f t="shared" si="2137"/>
        <v>1225476.28</v>
      </c>
      <c r="EU179" s="62">
        <f t="shared" si="2137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92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 t="shared" si="1821"/>
        <v>1</v>
      </c>
      <c r="FS179" s="120" t="b">
        <f t="shared" si="1822"/>
        <v>1</v>
      </c>
      <c r="FT179" s="120" t="b">
        <f t="shared" si="1823"/>
        <v>1</v>
      </c>
      <c r="FU179" s="120" t="b">
        <f t="shared" si="1824"/>
        <v>1</v>
      </c>
      <c r="FV179" s="120" t="b">
        <f t="shared" si="1825"/>
        <v>1</v>
      </c>
      <c r="FW179" s="104" t="b">
        <f t="shared" si="1881"/>
        <v>0</v>
      </c>
      <c r="FX179" s="120" t="b">
        <f t="shared" ref="FX179:FX184" si="2193">EXACT(FQ179,BI179)</f>
        <v>1</v>
      </c>
      <c r="FY179" s="104" t="s">
        <v>368</v>
      </c>
      <c r="FZ179" s="104" t="b">
        <f t="shared" ref="FZ179:FZ184" si="2194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95">EXACT(GD179,C179)</f>
        <v>1</v>
      </c>
      <c r="GI179" s="8" t="b">
        <f t="shared" ref="GI179:GI184" si="2196">EXACT(GG179,G179)</f>
        <v>0</v>
      </c>
      <c r="GJ179" s="31" t="s">
        <v>203</v>
      </c>
    </row>
    <row r="180" spans="1:192" hidden="1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47"/>
        <v>больше макс</v>
      </c>
      <c r="Q180" s="95">
        <v>206</v>
      </c>
      <c r="R180" s="95">
        <f t="shared" si="2148"/>
        <v>616199.56000000006</v>
      </c>
      <c r="S180" s="131">
        <v>259</v>
      </c>
      <c r="T180" s="131">
        <v>774842.53</v>
      </c>
      <c r="U180" s="131">
        <f t="shared" si="2149"/>
        <v>97.5</v>
      </c>
      <c r="V180" s="113">
        <f t="shared" si="2150"/>
        <v>206</v>
      </c>
      <c r="W180" s="113">
        <f t="shared" si="2151"/>
        <v>616199.56000000006</v>
      </c>
      <c r="X180" s="113">
        <f t="shared" si="2152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53"/>
        <v>0</v>
      </c>
      <c r="AF180" s="95">
        <f t="shared" si="2154"/>
        <v>0</v>
      </c>
      <c r="AG180" s="114">
        <v>0</v>
      </c>
      <c r="AH180" s="95">
        <f t="shared" si="2155"/>
        <v>206</v>
      </c>
      <c r="AI180" s="114">
        <f t="shared" si="2156"/>
        <v>616199.56000000006</v>
      </c>
      <c r="AJ180" s="133">
        <f t="shared" si="2157"/>
        <v>1</v>
      </c>
      <c r="AK180" s="133">
        <f t="shared" si="2135"/>
        <v>367</v>
      </c>
      <c r="AL180" s="133">
        <f t="shared" si="2158"/>
        <v>657</v>
      </c>
      <c r="AM180" s="133">
        <f t="shared" si="2159"/>
        <v>505</v>
      </c>
      <c r="AN180" s="133">
        <f t="shared" si="2160"/>
        <v>92.316831683168303</v>
      </c>
      <c r="AO180" s="133" t="str">
        <f t="shared" si="2161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62"/>
        <v>0-04</v>
      </c>
      <c r="AW180" s="117">
        <f t="shared" si="2163"/>
        <v>0</v>
      </c>
      <c r="AX180" s="14"/>
      <c r="AY180" s="25">
        <f t="shared" si="2164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65"/>
        <v>0</v>
      </c>
      <c r="BG180" s="32">
        <v>0</v>
      </c>
      <c r="BH180" s="32">
        <f t="shared" si="2166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67"/>
        <v>84.166666666666671</v>
      </c>
      <c r="BR180" s="95">
        <f t="shared" si="2168"/>
        <v>120</v>
      </c>
      <c r="BS180" s="133">
        <f t="shared" si="2144"/>
        <v>64</v>
      </c>
      <c r="BT180" s="133">
        <f t="shared" si="2144"/>
        <v>8</v>
      </c>
      <c r="BU180" s="133">
        <f t="shared" si="2144"/>
        <v>-78</v>
      </c>
      <c r="BV180" s="133">
        <f t="shared" si="2144"/>
        <v>-164</v>
      </c>
      <c r="BW180" s="133">
        <f t="shared" si="2144"/>
        <v>-299</v>
      </c>
      <c r="BX180" s="133">
        <f t="shared" si="2146"/>
        <v>-383.16666666666669</v>
      </c>
      <c r="BY180" s="133">
        <f t="shared" si="2146"/>
        <v>-467.33333333333337</v>
      </c>
      <c r="BZ180" s="133">
        <f t="shared" si="2146"/>
        <v>-551.5</v>
      </c>
      <c r="CA180" s="133">
        <f t="shared" si="2146"/>
        <v>-635.66666666666663</v>
      </c>
      <c r="CB180" s="133">
        <f t="shared" si="2146"/>
        <v>-719.83333333333326</v>
      </c>
      <c r="CC180" s="133">
        <f t="shared" si="2146"/>
        <v>-803.99999999999989</v>
      </c>
      <c r="CD180" s="133">
        <f t="shared" si="2146"/>
        <v>-888.16666666666652</v>
      </c>
      <c r="CE180" s="133">
        <f t="shared" si="2146"/>
        <v>-972.33333333333314</v>
      </c>
      <c r="CF180" s="133">
        <f t="shared" si="2146"/>
        <v>-1056.4999999999998</v>
      </c>
      <c r="CG180" s="133">
        <f t="shared" si="2146"/>
        <v>-1140.6666666666665</v>
      </c>
      <c r="CH180" s="133">
        <f t="shared" si="2146"/>
        <v>-1224.8333333333333</v>
      </c>
      <c r="CI180" s="133">
        <f t="shared" si="2146"/>
        <v>-1309</v>
      </c>
      <c r="CJ180" s="133">
        <f t="shared" si="2146"/>
        <v>-1393.1666666666667</v>
      </c>
      <c r="CK180" s="133">
        <f t="shared" si="2146"/>
        <v>-1477.3333333333335</v>
      </c>
      <c r="CL180" s="133">
        <f t="shared" si="2146"/>
        <v>-1561.5000000000002</v>
      </c>
      <c r="CM180" s="133">
        <f t="shared" si="2146"/>
        <v>-1645.666666666667</v>
      </c>
      <c r="CN180" s="133">
        <f t="shared" si="2146"/>
        <v>-1729.8333333333337</v>
      </c>
      <c r="CO180" s="133">
        <f t="shared" si="2146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69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40"/>
        <v>0</v>
      </c>
      <c r="DB180" s="4">
        <f t="shared" si="2141"/>
        <v>0</v>
      </c>
      <c r="DC180" s="4">
        <f t="shared" si="2142"/>
        <v>0</v>
      </c>
      <c r="DD180" s="136">
        <f t="shared" si="2143"/>
        <v>0</v>
      </c>
      <c r="DE180" s="31">
        <v>0</v>
      </c>
      <c r="DF180" s="31">
        <v>10</v>
      </c>
      <c r="DG180" s="31">
        <v>202</v>
      </c>
      <c r="DH180" s="48">
        <f t="shared" si="2170"/>
        <v>76.5</v>
      </c>
      <c r="DI180" s="62">
        <v>439.839</v>
      </c>
      <c r="DJ180" s="62">
        <v>1338612.4679999999</v>
      </c>
      <c r="DK180" s="48">
        <f t="shared" si="2171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72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73"/>
        <v>102</v>
      </c>
      <c r="DV180" s="62">
        <v>314</v>
      </c>
      <c r="DW180" s="62">
        <v>955634.39572192531</v>
      </c>
      <c r="DX180" s="62">
        <f t="shared" si="2174"/>
        <v>28.666666666666668</v>
      </c>
      <c r="DY180" s="62">
        <f t="shared" si="2175"/>
        <v>85749.453333333338</v>
      </c>
      <c r="DZ180" s="48">
        <f t="shared" si="2176"/>
        <v>12</v>
      </c>
      <c r="EA180" s="62">
        <f t="shared" si="2177"/>
        <v>18.666666666666668</v>
      </c>
      <c r="EB180" s="62">
        <f t="shared" si="2178"/>
        <v>55836.85333333334</v>
      </c>
      <c r="EC180" s="48">
        <f t="shared" si="2179"/>
        <v>7.5</v>
      </c>
      <c r="ED180" s="62">
        <f t="shared" si="2180"/>
        <v>18.666666666666668</v>
      </c>
      <c r="EE180" s="62">
        <f t="shared" si="2181"/>
        <v>55836.85333333334</v>
      </c>
      <c r="EF180" s="48">
        <f t="shared" si="2182"/>
        <v>7.5</v>
      </c>
      <c r="EG180" s="62">
        <f t="shared" si="2183"/>
        <v>28.666666666666668</v>
      </c>
      <c r="EH180" s="62">
        <f t="shared" si="2184"/>
        <v>85749.453333333338</v>
      </c>
      <c r="EI180" s="48">
        <f t="shared" si="2185"/>
        <v>12</v>
      </c>
      <c r="EJ180" s="62">
        <f t="shared" si="2186"/>
        <v>28.666666666666668</v>
      </c>
      <c r="EK180" s="62">
        <f t="shared" si="2187"/>
        <v>85749.453333333338</v>
      </c>
      <c r="EL180" s="48">
        <f t="shared" si="2188"/>
        <v>12</v>
      </c>
      <c r="EM180" s="62">
        <f t="shared" si="2189"/>
        <v>45</v>
      </c>
      <c r="EN180" s="62">
        <f t="shared" si="2190"/>
        <v>134606.70000000001</v>
      </c>
      <c r="EO180" s="48">
        <f t="shared" si="2191"/>
        <v>18</v>
      </c>
      <c r="EP180" s="62">
        <f t="shared" si="2139"/>
        <v>257248.36000000002</v>
      </c>
      <c r="EQ180" s="62">
        <f t="shared" si="2139"/>
        <v>167510.56</v>
      </c>
      <c r="ER180" s="62">
        <f t="shared" si="2139"/>
        <v>167510.56</v>
      </c>
      <c r="ES180" s="62">
        <f t="shared" si="2137"/>
        <v>257248.36000000002</v>
      </c>
      <c r="ET180" s="62">
        <f t="shared" si="2137"/>
        <v>257248.36000000002</v>
      </c>
      <c r="EU180" s="62">
        <f t="shared" si="2137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92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 t="shared" si="1821"/>
        <v>1</v>
      </c>
      <c r="FS180" s="103" t="b">
        <f t="shared" si="1822"/>
        <v>0</v>
      </c>
      <c r="FT180" s="103" t="b">
        <f t="shared" si="1823"/>
        <v>1</v>
      </c>
      <c r="FU180" s="103" t="b">
        <f t="shared" si="1824"/>
        <v>0</v>
      </c>
      <c r="FV180" s="103" t="b">
        <f t="shared" si="1825"/>
        <v>1</v>
      </c>
      <c r="FW180" s="104" t="b">
        <f t="shared" si="1881"/>
        <v>0</v>
      </c>
      <c r="FX180" s="120" t="b">
        <f t="shared" si="2193"/>
        <v>1</v>
      </c>
      <c r="FY180" s="104" t="s">
        <v>214</v>
      </c>
      <c r="FZ180" s="104" t="b">
        <f t="shared" si="2194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95"/>
        <v>1</v>
      </c>
      <c r="GI180" s="8" t="b">
        <f t="shared" si="2196"/>
        <v>0</v>
      </c>
    </row>
    <row r="181" spans="1:192" hidden="1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47"/>
        <v>нет минмакс</v>
      </c>
      <c r="Q181" s="95">
        <v>10274</v>
      </c>
      <c r="R181" s="95">
        <f t="shared" si="2148"/>
        <v>320446.06</v>
      </c>
      <c r="S181" s="114">
        <v>24535</v>
      </c>
      <c r="T181" s="114">
        <v>765492</v>
      </c>
      <c r="U181" s="131">
        <f t="shared" si="2149"/>
        <v>114</v>
      </c>
      <c r="V181" s="115">
        <f t="shared" si="2150"/>
        <v>27328</v>
      </c>
      <c r="W181" s="115">
        <f t="shared" si="2151"/>
        <v>852360.32000000007</v>
      </c>
      <c r="X181" s="115">
        <f t="shared" si="2152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53"/>
        <v>0</v>
      </c>
      <c r="AF181" s="95">
        <f t="shared" si="2154"/>
        <v>0</v>
      </c>
      <c r="AG181" s="114">
        <v>0</v>
      </c>
      <c r="AH181" s="95">
        <f t="shared" si="2155"/>
        <v>27328</v>
      </c>
      <c r="AI181" s="114">
        <f t="shared" si="2156"/>
        <v>852360.32000000007</v>
      </c>
      <c r="AJ181" s="114">
        <f t="shared" si="2157"/>
        <v>7249</v>
      </c>
      <c r="AK181" s="114">
        <f t="shared" ref="AK181:AK184" si="2197">SUM(CS181:CU181)</f>
        <v>17285</v>
      </c>
      <c r="AL181" s="114">
        <f t="shared" si="2158"/>
        <v>59252</v>
      </c>
      <c r="AM181" s="114">
        <f t="shared" si="2159"/>
        <v>113103</v>
      </c>
      <c r="AN181" s="133">
        <f t="shared" si="2160"/>
        <v>39.046709636349163</v>
      </c>
      <c r="AO181" s="133" t="str">
        <f t="shared" si="2161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62"/>
        <v>0-02</v>
      </c>
      <c r="AW181" s="126">
        <f t="shared" si="2163"/>
        <v>0</v>
      </c>
      <c r="AX181" s="138"/>
      <c r="AY181" s="115">
        <f t="shared" si="2164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65"/>
        <v>0</v>
      </c>
      <c r="BG181" s="32">
        <v>0</v>
      </c>
      <c r="BH181" s="32">
        <f t="shared" si="2166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67"/>
        <v>18850.5</v>
      </c>
      <c r="BR181" s="95">
        <f t="shared" si="2168"/>
        <v>10395</v>
      </c>
      <c r="BS181" s="133">
        <f t="shared" si="2144"/>
        <v>-13925</v>
      </c>
      <c r="BT181" s="133">
        <f t="shared" si="2144"/>
        <v>-42394</v>
      </c>
      <c r="BU181" s="133">
        <f t="shared" si="2144"/>
        <v>-58493</v>
      </c>
      <c r="BV181" s="133">
        <f t="shared" si="2144"/>
        <v>-71541</v>
      </c>
      <c r="BW181" s="133">
        <f t="shared" si="2144"/>
        <v>-85775</v>
      </c>
      <c r="BX181" s="133">
        <f t="shared" si="2146"/>
        <v>-104625.5</v>
      </c>
      <c r="BY181" s="133">
        <f t="shared" si="2146"/>
        <v>-123476</v>
      </c>
      <c r="BZ181" s="133">
        <f t="shared" si="2146"/>
        <v>-142326.5</v>
      </c>
      <c r="CA181" s="133">
        <f t="shared" ref="CA181:CO181" si="2198">BZ181-$BQ181</f>
        <v>-161177</v>
      </c>
      <c r="CB181" s="133">
        <f t="shared" si="2198"/>
        <v>-180027.5</v>
      </c>
      <c r="CC181" s="133">
        <f t="shared" si="2198"/>
        <v>-198878</v>
      </c>
      <c r="CD181" s="133">
        <f t="shared" si="2198"/>
        <v>-217728.5</v>
      </c>
      <c r="CE181" s="133">
        <f t="shared" si="2198"/>
        <v>-236579</v>
      </c>
      <c r="CF181" s="133">
        <f t="shared" si="2198"/>
        <v>-255429.5</v>
      </c>
      <c r="CG181" s="133">
        <f t="shared" si="2198"/>
        <v>-274280</v>
      </c>
      <c r="CH181" s="133">
        <f t="shared" si="2198"/>
        <v>-293130.5</v>
      </c>
      <c r="CI181" s="133">
        <f t="shared" si="2198"/>
        <v>-311981</v>
      </c>
      <c r="CJ181" s="133">
        <f t="shared" si="2198"/>
        <v>-330831.5</v>
      </c>
      <c r="CK181" s="133">
        <f t="shared" si="2198"/>
        <v>-349682</v>
      </c>
      <c r="CL181" s="133">
        <f t="shared" si="2198"/>
        <v>-368532.5</v>
      </c>
      <c r="CM181" s="133">
        <f t="shared" si="2198"/>
        <v>-387383</v>
      </c>
      <c r="CN181" s="133">
        <f t="shared" si="2198"/>
        <v>-406233.5</v>
      </c>
      <c r="CO181" s="133">
        <f t="shared" si="2198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69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40"/>
        <v>0</v>
      </c>
      <c r="DB181" s="4">
        <f t="shared" si="2141"/>
        <v>0</v>
      </c>
      <c r="DC181" s="4">
        <f t="shared" si="2142"/>
        <v>0</v>
      </c>
      <c r="DD181" s="136">
        <f t="shared" si="2143"/>
        <v>0</v>
      </c>
      <c r="DE181" s="31">
        <v>0</v>
      </c>
      <c r="DG181" s="31">
        <v>0</v>
      </c>
      <c r="DH181" s="48">
        <f t="shared" si="2170"/>
        <v>0</v>
      </c>
      <c r="DI181" s="62">
        <v>33369.872000000003</v>
      </c>
      <c r="DJ181" s="62">
        <v>1039045.264</v>
      </c>
      <c r="DK181" s="48">
        <f t="shared" si="2171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72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73"/>
        <v>22</v>
      </c>
      <c r="DV181" s="62">
        <v>0</v>
      </c>
      <c r="DW181" s="62">
        <v>0</v>
      </c>
      <c r="DX181" s="62">
        <f t="shared" si="2174"/>
        <v>0</v>
      </c>
      <c r="DY181" s="62">
        <f t="shared" si="2175"/>
        <v>0</v>
      </c>
      <c r="DZ181" s="48">
        <f t="shared" si="2176"/>
        <v>0</v>
      </c>
      <c r="EA181" s="62">
        <f t="shared" si="2177"/>
        <v>0</v>
      </c>
      <c r="EB181" s="62">
        <f t="shared" si="2178"/>
        <v>0</v>
      </c>
      <c r="EC181" s="48">
        <f t="shared" si="2179"/>
        <v>0</v>
      </c>
      <c r="ED181" s="62">
        <f t="shared" si="2180"/>
        <v>0</v>
      </c>
      <c r="EE181" s="62">
        <f t="shared" si="2181"/>
        <v>0</v>
      </c>
      <c r="EF181" s="48">
        <f t="shared" si="2182"/>
        <v>0</v>
      </c>
      <c r="EG181" s="62">
        <f t="shared" si="2183"/>
        <v>0</v>
      </c>
      <c r="EH181" s="62">
        <f t="shared" si="2184"/>
        <v>0</v>
      </c>
      <c r="EI181" s="48">
        <f t="shared" si="2185"/>
        <v>0</v>
      </c>
      <c r="EJ181" s="62">
        <f t="shared" si="2186"/>
        <v>0</v>
      </c>
      <c r="EK181" s="62">
        <f t="shared" si="2187"/>
        <v>0</v>
      </c>
      <c r="EL181" s="48">
        <f t="shared" si="2188"/>
        <v>0</v>
      </c>
      <c r="EM181" s="62">
        <f t="shared" si="2189"/>
        <v>0</v>
      </c>
      <c r="EN181" s="62">
        <f t="shared" si="2190"/>
        <v>0</v>
      </c>
      <c r="EO181" s="48">
        <f t="shared" si="2191"/>
        <v>0</v>
      </c>
      <c r="EP181" s="62">
        <f t="shared" si="2139"/>
        <v>528140.27</v>
      </c>
      <c r="EQ181" s="62">
        <f t="shared" si="2139"/>
        <v>758540.80000000005</v>
      </c>
      <c r="ER181" s="62">
        <f t="shared" si="2139"/>
        <v>887948.11</v>
      </c>
      <c r="ES181" s="62">
        <f t="shared" si="2137"/>
        <v>502127.81</v>
      </c>
      <c r="ET181" s="62">
        <f t="shared" si="2137"/>
        <v>406967.12</v>
      </c>
      <c r="EU181" s="62">
        <f t="shared" si="2137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92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 t="shared" si="1821"/>
        <v>1</v>
      </c>
      <c r="FS181" s="120" t="b">
        <f t="shared" si="1822"/>
        <v>1</v>
      </c>
      <c r="FT181" s="120" t="b">
        <f t="shared" si="1823"/>
        <v>1</v>
      </c>
      <c r="FU181" s="120" t="b">
        <f t="shared" si="1824"/>
        <v>1</v>
      </c>
      <c r="FV181" s="120" t="b">
        <f t="shared" si="1825"/>
        <v>1</v>
      </c>
      <c r="FW181" s="104" t="b">
        <f t="shared" si="1881"/>
        <v>0</v>
      </c>
      <c r="FX181" s="120" t="b">
        <f t="shared" si="2193"/>
        <v>1</v>
      </c>
      <c r="FY181" s="104" t="s">
        <v>368</v>
      </c>
      <c r="FZ181" s="104" t="b">
        <f t="shared" si="2194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95"/>
        <v>1</v>
      </c>
      <c r="GI181" s="8" t="b">
        <f t="shared" si="2196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47"/>
        <v>больше макс</v>
      </c>
      <c r="Q182" s="95">
        <v>395</v>
      </c>
      <c r="R182" s="95">
        <f t="shared" si="2148"/>
        <v>374456.05</v>
      </c>
      <c r="S182" s="131">
        <v>802</v>
      </c>
      <c r="T182" s="131">
        <v>760287.98</v>
      </c>
      <c r="U182" s="131">
        <f t="shared" si="2149"/>
        <v>1.5</v>
      </c>
      <c r="V182" s="113">
        <f t="shared" si="2150"/>
        <v>661.89999389648438</v>
      </c>
      <c r="W182" s="113">
        <f t="shared" si="2151"/>
        <v>627474.57521392824</v>
      </c>
      <c r="X182" s="113">
        <f t="shared" si="2152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53"/>
        <v>0</v>
      </c>
      <c r="AF182" s="95">
        <f t="shared" si="2154"/>
        <v>0</v>
      </c>
      <c r="AG182" s="114">
        <v>0</v>
      </c>
      <c r="AH182" s="95">
        <f t="shared" si="2155"/>
        <v>661.89999389648438</v>
      </c>
      <c r="AI182" s="114">
        <f t="shared" si="2156"/>
        <v>627474.57521392824</v>
      </c>
      <c r="AJ182" s="133">
        <f t="shared" si="2157"/>
        <v>197</v>
      </c>
      <c r="AK182" s="133">
        <f t="shared" si="2197"/>
        <v>626</v>
      </c>
      <c r="AL182" s="133">
        <f t="shared" si="2158"/>
        <v>824</v>
      </c>
      <c r="AM182" s="133">
        <f t="shared" si="2159"/>
        <v>1715.98</v>
      </c>
      <c r="AN182" s="133">
        <f t="shared" si="2160"/>
        <v>84.126854625345288</v>
      </c>
      <c r="AO182" s="133" t="str">
        <f t="shared" si="2161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62"/>
        <v>0-03</v>
      </c>
      <c r="AW182" s="117">
        <f t="shared" si="2163"/>
        <v>0</v>
      </c>
      <c r="AX182" s="14"/>
      <c r="AY182" s="25">
        <f t="shared" si="2164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65"/>
        <v>0</v>
      </c>
      <c r="BG182" s="32">
        <v>0</v>
      </c>
      <c r="BH182" s="32">
        <f t="shared" si="2166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67"/>
        <v>285.99666666666667</v>
      </c>
      <c r="BR182" s="95">
        <f t="shared" si="2168"/>
        <v>306.85999389648435</v>
      </c>
      <c r="BS182" s="133">
        <f t="shared" si="2144"/>
        <v>107.73999389648435</v>
      </c>
      <c r="BT182" s="133">
        <f t="shared" si="2144"/>
        <v>-105.07000610351565</v>
      </c>
      <c r="BU182" s="133">
        <f t="shared" si="2144"/>
        <v>-431.52000610351564</v>
      </c>
      <c r="BV182" s="133">
        <f t="shared" si="2144"/>
        <v>-757.89000610351559</v>
      </c>
      <c r="BW182" s="133">
        <f t="shared" si="2144"/>
        <v>-1054.0800061035156</v>
      </c>
      <c r="BX182" s="133">
        <f t="shared" ref="BX182:CO182" si="2199">BW182-$BQ182</f>
        <v>-1340.0766727701823</v>
      </c>
      <c r="BY182" s="133">
        <f t="shared" si="2199"/>
        <v>-1626.073339436849</v>
      </c>
      <c r="BZ182" s="133">
        <f t="shared" si="2199"/>
        <v>-1912.0700061035157</v>
      </c>
      <c r="CA182" s="133">
        <f t="shared" si="2199"/>
        <v>-2198.0666727701823</v>
      </c>
      <c r="CB182" s="133">
        <f t="shared" si="2199"/>
        <v>-2484.0633394368488</v>
      </c>
      <c r="CC182" s="133">
        <f t="shared" si="2199"/>
        <v>-2770.0600061035157</v>
      </c>
      <c r="CD182" s="133">
        <f t="shared" si="2199"/>
        <v>-3056.0566727701826</v>
      </c>
      <c r="CE182" s="133">
        <f t="shared" si="2199"/>
        <v>-3342.0533394368495</v>
      </c>
      <c r="CF182" s="133">
        <f t="shared" si="2199"/>
        <v>-3628.0500061035164</v>
      </c>
      <c r="CG182" s="133">
        <f t="shared" si="2199"/>
        <v>-3914.0466727701832</v>
      </c>
      <c r="CH182" s="133">
        <f t="shared" si="2199"/>
        <v>-4200.0433394368501</v>
      </c>
      <c r="CI182" s="133">
        <f t="shared" si="2199"/>
        <v>-4486.040006103517</v>
      </c>
      <c r="CJ182" s="133">
        <f t="shared" si="2199"/>
        <v>-4772.0366727701839</v>
      </c>
      <c r="CK182" s="133">
        <f t="shared" si="2199"/>
        <v>-5058.0333394368508</v>
      </c>
      <c r="CL182" s="133">
        <f t="shared" si="2199"/>
        <v>-5344.0300061035177</v>
      </c>
      <c r="CM182" s="133">
        <f t="shared" si="2199"/>
        <v>-5630.0266727701846</v>
      </c>
      <c r="CN182" s="133">
        <f t="shared" si="2199"/>
        <v>-5916.0233394368515</v>
      </c>
      <c r="CO182" s="133">
        <f t="shared" si="2199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69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40"/>
        <v>0</v>
      </c>
      <c r="DB182" s="4">
        <f t="shared" si="2141"/>
        <v>0</v>
      </c>
      <c r="DC182" s="4">
        <f t="shared" si="2142"/>
        <v>0</v>
      </c>
      <c r="DD182" s="136">
        <f t="shared" si="2143"/>
        <v>0</v>
      </c>
      <c r="DE182" s="31">
        <v>0</v>
      </c>
      <c r="DF182" s="31">
        <v>45</v>
      </c>
      <c r="DG182" s="31">
        <v>0</v>
      </c>
      <c r="DH182" s="48">
        <f t="shared" si="2170"/>
        <v>0</v>
      </c>
      <c r="DI182" s="62">
        <v>1113.5240000000001</v>
      </c>
      <c r="DJ182" s="62">
        <v>1055613.6470000001</v>
      </c>
      <c r="DK182" s="48">
        <f t="shared" si="2171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72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73"/>
        <v>1.5</v>
      </c>
      <c r="DV182" s="62">
        <v>218</v>
      </c>
      <c r="DW182" s="62">
        <v>206662.57461155931</v>
      </c>
      <c r="DX182" s="62">
        <f t="shared" si="2174"/>
        <v>532.56000000000006</v>
      </c>
      <c r="DY182" s="62">
        <f t="shared" si="2175"/>
        <v>504861.55440000008</v>
      </c>
      <c r="DZ182" s="48">
        <f t="shared" si="2176"/>
        <v>1.5</v>
      </c>
      <c r="EA182" s="62">
        <f t="shared" si="2177"/>
        <v>298.68</v>
      </c>
      <c r="EB182" s="62">
        <f t="shared" si="2178"/>
        <v>283145.6532</v>
      </c>
      <c r="EC182" s="48">
        <f t="shared" si="2179"/>
        <v>1.5</v>
      </c>
      <c r="ED182" s="62">
        <f t="shared" si="2180"/>
        <v>319.21500000000003</v>
      </c>
      <c r="EE182" s="62">
        <f t="shared" si="2181"/>
        <v>302612.62785000005</v>
      </c>
      <c r="EF182" s="48">
        <f t="shared" si="2182"/>
        <v>1.5</v>
      </c>
      <c r="EG182" s="62">
        <f t="shared" si="2183"/>
        <v>489.67500000000001</v>
      </c>
      <c r="EH182" s="62">
        <f t="shared" si="2184"/>
        <v>464207.00325000001</v>
      </c>
      <c r="EI182" s="48">
        <f t="shared" si="2185"/>
        <v>1.5</v>
      </c>
      <c r="EJ182" s="62">
        <f t="shared" si="2186"/>
        <v>489.55500000000001</v>
      </c>
      <c r="EK182" s="62">
        <f t="shared" si="2187"/>
        <v>464093.24445</v>
      </c>
      <c r="EL182" s="48">
        <f t="shared" si="2188"/>
        <v>1.5</v>
      </c>
      <c r="EM182" s="62">
        <f t="shared" si="2189"/>
        <v>444.28499999999997</v>
      </c>
      <c r="EN182" s="62">
        <f t="shared" si="2190"/>
        <v>421177.73715</v>
      </c>
      <c r="EO182" s="48">
        <f t="shared" si="2191"/>
        <v>1.5</v>
      </c>
      <c r="EP182" s="62">
        <f t="shared" si="2139"/>
        <v>336574.36960000003</v>
      </c>
      <c r="EQ182" s="62">
        <f t="shared" si="2139"/>
        <v>188763.76880000002</v>
      </c>
      <c r="ER182" s="62">
        <f t="shared" si="2139"/>
        <v>201741.7519</v>
      </c>
      <c r="ES182" s="62">
        <f t="shared" si="2137"/>
        <v>309471.33549999999</v>
      </c>
      <c r="ET182" s="62">
        <f t="shared" si="2137"/>
        <v>309395.4963</v>
      </c>
      <c r="EU182" s="62">
        <f t="shared" si="2137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92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 t="shared" si="1821"/>
        <v>0</v>
      </c>
      <c r="FS182" s="103" t="b">
        <f t="shared" si="1822"/>
        <v>1</v>
      </c>
      <c r="FT182" s="103" t="b">
        <f t="shared" si="1823"/>
        <v>0</v>
      </c>
      <c r="FU182" s="103" t="b">
        <f t="shared" si="1824"/>
        <v>0</v>
      </c>
      <c r="FV182" s="103" t="b">
        <f t="shared" si="1825"/>
        <v>1</v>
      </c>
      <c r="FW182" s="104" t="b">
        <f t="shared" si="1881"/>
        <v>0</v>
      </c>
      <c r="FX182" s="120" t="b">
        <f t="shared" si="2193"/>
        <v>1</v>
      </c>
      <c r="FY182" s="104" t="s">
        <v>491</v>
      </c>
      <c r="FZ182" s="104" t="b">
        <f t="shared" si="2194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95"/>
        <v>1</v>
      </c>
      <c r="GI182" s="8" t="b">
        <f t="shared" si="2196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47"/>
        <v>нет минмакс</v>
      </c>
      <c r="Q183" s="95">
        <v>2248</v>
      </c>
      <c r="R183" s="95">
        <f t="shared" si="2148"/>
        <v>690383.28</v>
      </c>
      <c r="S183" s="131">
        <v>2248</v>
      </c>
      <c r="T183" s="131">
        <v>690383.28</v>
      </c>
      <c r="U183" s="131">
        <f t="shared" si="2149"/>
        <v>3</v>
      </c>
      <c r="V183" s="113">
        <f t="shared" si="2150"/>
        <v>2248</v>
      </c>
      <c r="W183" s="113">
        <f t="shared" si="2151"/>
        <v>690383.28</v>
      </c>
      <c r="X183" s="113">
        <f t="shared" si="2152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53"/>
        <v>0</v>
      </c>
      <c r="AF183" s="95">
        <f t="shared" si="2154"/>
        <v>0</v>
      </c>
      <c r="AG183" s="114">
        <v>0</v>
      </c>
      <c r="AH183" s="95">
        <f t="shared" si="2155"/>
        <v>2248</v>
      </c>
      <c r="AI183" s="114">
        <f t="shared" si="2156"/>
        <v>690383.28</v>
      </c>
      <c r="AJ183" s="133">
        <f t="shared" si="2157"/>
        <v>0</v>
      </c>
      <c r="AK183" s="133">
        <f t="shared" si="2197"/>
        <v>0</v>
      </c>
      <c r="AL183" s="133">
        <f t="shared" si="2158"/>
        <v>0</v>
      </c>
      <c r="AM183" s="133">
        <f t="shared" si="2159"/>
        <v>0</v>
      </c>
      <c r="AN183" s="133" t="str">
        <f t="shared" si="2160"/>
        <v>нет оборота</v>
      </c>
      <c r="AO183" s="133" t="str">
        <f t="shared" si="2161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62"/>
        <v>Нет планов</v>
      </c>
      <c r="AW183" s="117">
        <f t="shared" si="2163"/>
        <v>690383.28</v>
      </c>
      <c r="AX183" s="14">
        <f>MONTH(BC183)-6</f>
        <v>2</v>
      </c>
      <c r="AY183" s="25">
        <f t="shared" si="2164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65"/>
        <v>0</v>
      </c>
      <c r="BG183" s="32">
        <v>0</v>
      </c>
      <c r="BH183" s="32">
        <f t="shared" si="2166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67"/>
        <v>0</v>
      </c>
      <c r="BR183" s="95">
        <f t="shared" si="2168"/>
        <v>2248</v>
      </c>
      <c r="BS183" s="133">
        <f t="shared" ref="BS183:BW185" si="2200">BR183-BL183</f>
        <v>2248</v>
      </c>
      <c r="BT183" s="133">
        <f t="shared" si="2200"/>
        <v>2248</v>
      </c>
      <c r="BU183" s="133">
        <f t="shared" si="2200"/>
        <v>2248</v>
      </c>
      <c r="BV183" s="133">
        <f t="shared" si="2200"/>
        <v>2248</v>
      </c>
      <c r="BW183" s="133">
        <f t="shared" si="2200"/>
        <v>2248</v>
      </c>
      <c r="BX183" s="133">
        <f t="shared" ref="BX183:CO183" si="2201">BW183-$BQ183</f>
        <v>2248</v>
      </c>
      <c r="BY183" s="133">
        <f t="shared" si="2201"/>
        <v>2248</v>
      </c>
      <c r="BZ183" s="133">
        <f t="shared" si="2201"/>
        <v>2248</v>
      </c>
      <c r="CA183" s="133">
        <f t="shared" si="2201"/>
        <v>2248</v>
      </c>
      <c r="CB183" s="133">
        <f t="shared" si="2201"/>
        <v>2248</v>
      </c>
      <c r="CC183" s="133">
        <f t="shared" si="2201"/>
        <v>2248</v>
      </c>
      <c r="CD183" s="133">
        <f t="shared" si="2201"/>
        <v>2248</v>
      </c>
      <c r="CE183" s="133">
        <f t="shared" si="2201"/>
        <v>2248</v>
      </c>
      <c r="CF183" s="133">
        <f t="shared" si="2201"/>
        <v>2248</v>
      </c>
      <c r="CG183" s="133">
        <f t="shared" si="2201"/>
        <v>2248</v>
      </c>
      <c r="CH183" s="133">
        <f t="shared" si="2201"/>
        <v>2248</v>
      </c>
      <c r="CI183" s="133">
        <f t="shared" si="2201"/>
        <v>2248</v>
      </c>
      <c r="CJ183" s="133">
        <f t="shared" si="2201"/>
        <v>2248</v>
      </c>
      <c r="CK183" s="133">
        <f t="shared" si="2201"/>
        <v>2248</v>
      </c>
      <c r="CL183" s="133">
        <f t="shared" si="2201"/>
        <v>2248</v>
      </c>
      <c r="CM183" s="133">
        <f t="shared" si="2201"/>
        <v>2248</v>
      </c>
      <c r="CN183" s="133">
        <f t="shared" si="2201"/>
        <v>2248</v>
      </c>
      <c r="CO183" s="133">
        <f t="shared" si="2201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69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202">IFERROR(CZ183/CY183,0)</f>
        <v>0</v>
      </c>
      <c r="DB183" s="4">
        <f t="shared" ref="DB183:DB189" si="2203">CY183*FH183</f>
        <v>0</v>
      </c>
      <c r="DC183" s="4">
        <f t="shared" ref="DC183:DC189" si="2204">CZ183*FH183</f>
        <v>0</v>
      </c>
      <c r="DD183" s="136">
        <f t="shared" ref="DD183:DD189" si="2205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70"/>
        <v>3</v>
      </c>
      <c r="DI183" s="62">
        <v>2248</v>
      </c>
      <c r="DJ183" s="62">
        <v>690385.78</v>
      </c>
      <c r="DK183" s="48">
        <f t="shared" si="2171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72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73"/>
        <v>3</v>
      </c>
      <c r="DV183" s="62">
        <v>0</v>
      </c>
      <c r="DW183" s="62">
        <v>0</v>
      </c>
      <c r="DX183" s="62">
        <f t="shared" si="2174"/>
        <v>0</v>
      </c>
      <c r="DY183" s="62">
        <f t="shared" si="2175"/>
        <v>0</v>
      </c>
      <c r="DZ183" s="48">
        <f t="shared" si="2176"/>
        <v>0</v>
      </c>
      <c r="EA183" s="62">
        <f t="shared" si="2177"/>
        <v>0</v>
      </c>
      <c r="EB183" s="62">
        <f t="shared" si="2178"/>
        <v>0</v>
      </c>
      <c r="EC183" s="48">
        <f t="shared" si="2179"/>
        <v>0</v>
      </c>
      <c r="ED183" s="62">
        <f t="shared" si="2180"/>
        <v>0</v>
      </c>
      <c r="EE183" s="62">
        <f t="shared" si="2181"/>
        <v>0</v>
      </c>
      <c r="EF183" s="48">
        <f t="shared" si="2182"/>
        <v>0</v>
      </c>
      <c r="EG183" s="62">
        <f t="shared" si="2183"/>
        <v>0</v>
      </c>
      <c r="EH183" s="62">
        <f t="shared" si="2184"/>
        <v>0</v>
      </c>
      <c r="EI183" s="48">
        <f t="shared" si="2185"/>
        <v>0</v>
      </c>
      <c r="EJ183" s="62">
        <f t="shared" si="2186"/>
        <v>0</v>
      </c>
      <c r="EK183" s="62">
        <f t="shared" si="2187"/>
        <v>0</v>
      </c>
      <c r="EL183" s="48">
        <f t="shared" si="2188"/>
        <v>0</v>
      </c>
      <c r="EM183" s="62">
        <f t="shared" si="2189"/>
        <v>0</v>
      </c>
      <c r="EN183" s="62">
        <f t="shared" si="2190"/>
        <v>0</v>
      </c>
      <c r="EO183" s="48">
        <f t="shared" si="2191"/>
        <v>0</v>
      </c>
      <c r="EP183" s="62">
        <f t="shared" ref="EP183:EU184" si="2206">BK183*$FH183</f>
        <v>0</v>
      </c>
      <c r="EQ183" s="62">
        <f t="shared" si="2206"/>
        <v>0</v>
      </c>
      <c r="ER183" s="62">
        <f t="shared" si="2206"/>
        <v>0</v>
      </c>
      <c r="ES183" s="62">
        <f t="shared" si="2206"/>
        <v>0</v>
      </c>
      <c r="ET183" s="62">
        <f t="shared" si="2206"/>
        <v>0</v>
      </c>
      <c r="EU183" s="62">
        <f t="shared" si="2206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92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 t="shared" si="1821"/>
        <v>1</v>
      </c>
      <c r="FS183" s="103" t="b">
        <f t="shared" si="1822"/>
        <v>1</v>
      </c>
      <c r="FT183" s="103" t="b">
        <f t="shared" si="1823"/>
        <v>1</v>
      </c>
      <c r="FU183" s="103" t="b">
        <f t="shared" si="1824"/>
        <v>0</v>
      </c>
      <c r="FV183" s="103" t="b">
        <f t="shared" si="1825"/>
        <v>1</v>
      </c>
      <c r="FW183" s="104" t="b">
        <f t="shared" si="1881"/>
        <v>0</v>
      </c>
      <c r="FX183" s="120" t="b">
        <f t="shared" si="2193"/>
        <v>1</v>
      </c>
      <c r="FY183" s="104" t="s">
        <v>491</v>
      </c>
      <c r="FZ183" s="104" t="b">
        <f t="shared" si="2194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95"/>
        <v>1</v>
      </c>
      <c r="GI183" s="8" t="b">
        <f t="shared" si="2196"/>
        <v>0</v>
      </c>
      <c r="GJ183" s="31" t="s">
        <v>203</v>
      </c>
    </row>
    <row r="184" spans="1:192" hidden="1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47"/>
        <v>нет минмакс</v>
      </c>
      <c r="Q184" s="95">
        <v>32200</v>
      </c>
      <c r="R184" s="95">
        <f t="shared" si="2148"/>
        <v>385434</v>
      </c>
      <c r="S184" s="114">
        <v>56107</v>
      </c>
      <c r="T184" s="114">
        <v>670478.64999999991</v>
      </c>
      <c r="U184" s="131">
        <f t="shared" si="2149"/>
        <v>60</v>
      </c>
      <c r="V184" s="115">
        <f t="shared" si="2150"/>
        <v>97656</v>
      </c>
      <c r="W184" s="115">
        <f t="shared" si="2151"/>
        <v>1168942.32</v>
      </c>
      <c r="X184" s="115">
        <f t="shared" si="2152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53"/>
        <v>0</v>
      </c>
      <c r="AF184" s="95">
        <f t="shared" si="2154"/>
        <v>0</v>
      </c>
      <c r="AG184" s="114">
        <v>0</v>
      </c>
      <c r="AH184" s="95">
        <f t="shared" si="2155"/>
        <v>97656</v>
      </c>
      <c r="AI184" s="114">
        <f t="shared" si="2156"/>
        <v>1168942.32</v>
      </c>
      <c r="AJ184" s="114">
        <f t="shared" si="2157"/>
        <v>51433</v>
      </c>
      <c r="AK184" s="114">
        <f t="shared" si="2197"/>
        <v>144409</v>
      </c>
      <c r="AL184" s="114">
        <f t="shared" si="2158"/>
        <v>219564</v>
      </c>
      <c r="AM184" s="114">
        <f t="shared" si="2159"/>
        <v>324539</v>
      </c>
      <c r="AN184" s="133">
        <f t="shared" si="2160"/>
        <v>31.118786956267193</v>
      </c>
      <c r="AO184" s="133" t="str">
        <f t="shared" si="2161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62"/>
        <v>0-03</v>
      </c>
      <c r="AW184" s="126">
        <f t="shared" si="2163"/>
        <v>0</v>
      </c>
      <c r="AX184" s="138"/>
      <c r="AY184" s="115">
        <f t="shared" si="2164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65"/>
        <v>0</v>
      </c>
      <c r="BG184" s="32">
        <v>0</v>
      </c>
      <c r="BH184" s="32">
        <f t="shared" si="2166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67"/>
        <v>54089.833333333336</v>
      </c>
      <c r="BR184" s="95">
        <f t="shared" si="2168"/>
        <v>60872</v>
      </c>
      <c r="BS184" s="133">
        <f t="shared" si="2200"/>
        <v>9390</v>
      </c>
      <c r="BT184" s="133">
        <f t="shared" si="2200"/>
        <v>-45025</v>
      </c>
      <c r="BU184" s="133">
        <f t="shared" si="2200"/>
        <v>-110503</v>
      </c>
      <c r="BV184" s="133">
        <f t="shared" si="2200"/>
        <v>-170862</v>
      </c>
      <c r="BW184" s="133">
        <f t="shared" si="2200"/>
        <v>-226883</v>
      </c>
      <c r="BX184" s="133">
        <f t="shared" ref="BX184:CO184" si="2207">BW184-$BQ184</f>
        <v>-280972.83333333331</v>
      </c>
      <c r="BY184" s="133">
        <f t="shared" si="2207"/>
        <v>-335062.66666666663</v>
      </c>
      <c r="BZ184" s="133">
        <f t="shared" si="2207"/>
        <v>-389152.49999999994</v>
      </c>
      <c r="CA184" s="133">
        <f t="shared" si="2207"/>
        <v>-443242.33333333326</v>
      </c>
      <c r="CB184" s="133">
        <f t="shared" si="2207"/>
        <v>-497332.16666666657</v>
      </c>
      <c r="CC184" s="133">
        <f t="shared" si="2207"/>
        <v>-551421.99999999988</v>
      </c>
      <c r="CD184" s="133">
        <f t="shared" si="2207"/>
        <v>-605511.83333333326</v>
      </c>
      <c r="CE184" s="133">
        <f t="shared" si="2207"/>
        <v>-659601.66666666663</v>
      </c>
      <c r="CF184" s="133">
        <f t="shared" si="2207"/>
        <v>-713691.5</v>
      </c>
      <c r="CG184" s="133">
        <f t="shared" si="2207"/>
        <v>-767781.33333333337</v>
      </c>
      <c r="CH184" s="133">
        <f t="shared" si="2207"/>
        <v>-821871.16666666674</v>
      </c>
      <c r="CI184" s="133">
        <f t="shared" si="2207"/>
        <v>-875961.00000000012</v>
      </c>
      <c r="CJ184" s="133">
        <f t="shared" si="2207"/>
        <v>-930050.83333333349</v>
      </c>
      <c r="CK184" s="133">
        <f t="shared" si="2207"/>
        <v>-984140.66666666686</v>
      </c>
      <c r="CL184" s="133">
        <f t="shared" si="2207"/>
        <v>-1038230.5000000002</v>
      </c>
      <c r="CM184" s="133">
        <f t="shared" si="2207"/>
        <v>-1092320.3333333335</v>
      </c>
      <c r="CN184" s="133">
        <f t="shared" si="2207"/>
        <v>-1146410.1666666667</v>
      </c>
      <c r="CO184" s="133">
        <f t="shared" si="2207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69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202"/>
        <v>0</v>
      </c>
      <c r="DB184" s="4">
        <f t="shared" si="2203"/>
        <v>0</v>
      </c>
      <c r="DC184" s="4">
        <f t="shared" si="2204"/>
        <v>0</v>
      </c>
      <c r="DD184" s="136">
        <f t="shared" si="2205"/>
        <v>0</v>
      </c>
      <c r="DE184" s="31">
        <v>0</v>
      </c>
      <c r="DG184" s="31">
        <v>0</v>
      </c>
      <c r="DH184" s="48">
        <f t="shared" si="2170"/>
        <v>0</v>
      </c>
      <c r="DI184" s="62">
        <v>34774.419000000002</v>
      </c>
      <c r="DJ184" s="62">
        <v>413179.05800000002</v>
      </c>
      <c r="DK184" s="48">
        <f t="shared" si="2171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72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73"/>
        <v>89</v>
      </c>
      <c r="DV184" s="62">
        <v>52174</v>
      </c>
      <c r="DW184" s="62">
        <v>622390.77177456312</v>
      </c>
      <c r="DX184" s="62">
        <f t="shared" si="2174"/>
        <v>0</v>
      </c>
      <c r="DY184" s="62">
        <f t="shared" si="2175"/>
        <v>0</v>
      </c>
      <c r="DZ184" s="48">
        <f t="shared" si="2176"/>
        <v>0</v>
      </c>
      <c r="EA184" s="62">
        <f t="shared" si="2177"/>
        <v>0</v>
      </c>
      <c r="EB184" s="62">
        <f t="shared" si="2178"/>
        <v>0</v>
      </c>
      <c r="EC184" s="48">
        <f t="shared" si="2179"/>
        <v>0</v>
      </c>
      <c r="ED184" s="62">
        <f t="shared" si="2180"/>
        <v>0</v>
      </c>
      <c r="EE184" s="62">
        <f t="shared" si="2181"/>
        <v>0</v>
      </c>
      <c r="EF184" s="48">
        <f t="shared" si="2182"/>
        <v>0</v>
      </c>
      <c r="EG184" s="62">
        <f t="shared" si="2183"/>
        <v>0</v>
      </c>
      <c r="EH184" s="62">
        <f t="shared" si="2184"/>
        <v>0</v>
      </c>
      <c r="EI184" s="48">
        <f t="shared" si="2185"/>
        <v>0</v>
      </c>
      <c r="EJ184" s="62">
        <f t="shared" si="2186"/>
        <v>0</v>
      </c>
      <c r="EK184" s="62">
        <f t="shared" si="2187"/>
        <v>0</v>
      </c>
      <c r="EL184" s="48">
        <f t="shared" si="2188"/>
        <v>0</v>
      </c>
      <c r="EM184" s="62">
        <f t="shared" si="2189"/>
        <v>0</v>
      </c>
      <c r="EN184" s="62">
        <f t="shared" si="2190"/>
        <v>0</v>
      </c>
      <c r="EO184" s="48">
        <f t="shared" si="2191"/>
        <v>0</v>
      </c>
      <c r="EP184" s="62">
        <f t="shared" si="2206"/>
        <v>440304.48000000004</v>
      </c>
      <c r="EQ184" s="62">
        <f t="shared" si="2206"/>
        <v>616239.54</v>
      </c>
      <c r="ER184" s="62">
        <f t="shared" si="2206"/>
        <v>651347.55000000005</v>
      </c>
      <c r="ES184" s="62">
        <f t="shared" si="2206"/>
        <v>783771.66</v>
      </c>
      <c r="ET184" s="62">
        <f t="shared" si="2206"/>
        <v>722497.23</v>
      </c>
      <c r="EU184" s="62">
        <f t="shared" si="2206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92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 t="shared" si="1821"/>
        <v>1</v>
      </c>
      <c r="FS184" s="120" t="b">
        <f t="shared" si="1822"/>
        <v>1</v>
      </c>
      <c r="FT184" s="120" t="b">
        <f t="shared" si="1823"/>
        <v>1</v>
      </c>
      <c r="FU184" s="120" t="b">
        <f t="shared" si="1824"/>
        <v>1</v>
      </c>
      <c r="FV184" s="120" t="b">
        <f t="shared" si="1825"/>
        <v>1</v>
      </c>
      <c r="FW184" s="104" t="b">
        <f t="shared" si="1881"/>
        <v>0</v>
      </c>
      <c r="FX184" s="120" t="b">
        <f t="shared" si="2193"/>
        <v>1</v>
      </c>
      <c r="FY184" s="104" t="s">
        <v>368</v>
      </c>
      <c r="FZ184" s="104" t="b">
        <f t="shared" si="2194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95"/>
        <v>1</v>
      </c>
      <c r="GI184" s="8" t="b">
        <f t="shared" si="2196"/>
        <v>0</v>
      </c>
      <c r="GJ184" s="31" t="s">
        <v>203</v>
      </c>
    </row>
    <row r="185" spans="1:192" ht="45" hidden="1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208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209">Q185*FH185</f>
        <v>392184.00000000006</v>
      </c>
      <c r="S185" s="131">
        <v>4300</v>
      </c>
      <c r="T185" s="131">
        <v>576716</v>
      </c>
      <c r="U185" s="131">
        <f t="shared" ref="U185:U192" si="2210">IFERROR(ROUNDUP(S185/$EX185,0)*$EY185,0)</f>
        <v>6</v>
      </c>
      <c r="V185" s="113">
        <f t="shared" ref="V185:V192" si="2211">SUM(Z185:AD185)</f>
        <v>2925</v>
      </c>
      <c r="W185" s="113">
        <f t="shared" ref="W185:W192" si="2212">V185*FH185</f>
        <v>392184.00000000006</v>
      </c>
      <c r="X185" s="113">
        <f t="shared" ref="X185:X192" si="2213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214">AA185*FH185</f>
        <v>0</v>
      </c>
      <c r="AF185" s="95">
        <f t="shared" ref="AF185:AF192" si="2215">AB185*FH185</f>
        <v>0</v>
      </c>
      <c r="AG185" s="114">
        <v>0</v>
      </c>
      <c r="AH185" s="95">
        <f t="shared" ref="AH185:AH192" si="2216">V185-AG185</f>
        <v>2925</v>
      </c>
      <c r="AI185" s="114">
        <f t="shared" ref="AI185:AI192" si="2217">IF(AH185&gt;0,AH185*FH185,0)</f>
        <v>392184.00000000006</v>
      </c>
      <c r="AJ185" s="133">
        <f t="shared" ref="AJ185:AJ192" si="2218">CU185</f>
        <v>0</v>
      </c>
      <c r="AK185" s="133">
        <f t="shared" ref="AK185:AK193" si="2219">SUM(CS185:CU185)</f>
        <v>1277</v>
      </c>
      <c r="AL185" s="133">
        <f t="shared" ref="AL185:AL192" si="2220">SUM(CP185:CU185)</f>
        <v>4275</v>
      </c>
      <c r="AM185" s="133">
        <f t="shared" ref="AM185:AM192" si="2221">SUM(BK185:BP185)</f>
        <v>1935.5900000000001</v>
      </c>
      <c r="AN185" s="133">
        <f t="shared" ref="AN185:AN192" si="2222">IFERROR(S185/BQ185*30,"нет оборота")</f>
        <v>399.87807335231116</v>
      </c>
      <c r="AO185" s="133" t="str">
        <f t="shared" ref="AO185:AO192" si="2223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24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25">IF(AT185="Да",W185,0)</f>
        <v>392184.00000000006</v>
      </c>
      <c r="AX185" s="14"/>
      <c r="AY185" s="25">
        <f t="shared" ref="AY185:AY192" si="2226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27">BE185*FH185</f>
        <v>0</v>
      </c>
      <c r="BG185" s="32">
        <v>0</v>
      </c>
      <c r="BH185" s="32">
        <f t="shared" ref="BH185:BH192" si="2228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29">IF(COUNTIF(BK185:BP185,"&gt;0")=0,0,SUM(BK185:BP185)/COUNTIF(BK185:BP185,"&gt;0"))</f>
        <v>322.59833333333336</v>
      </c>
      <c r="BR185" s="95">
        <f t="shared" ref="BR185:BR192" si="2230">IF(OR(Q185=0,SUM(BK185:BP185)=0,V185&gt;Q185),V185-BK185,Q185-BK185)</f>
        <v>2798.98</v>
      </c>
      <c r="BS185" s="133">
        <f t="shared" si="2200"/>
        <v>2570.5500000000002</v>
      </c>
      <c r="BT185" s="133">
        <f t="shared" si="2200"/>
        <v>2091.59</v>
      </c>
      <c r="BU185" s="133">
        <f t="shared" si="2200"/>
        <v>1612.63</v>
      </c>
      <c r="BV185" s="133">
        <f t="shared" si="2200"/>
        <v>1301.02</v>
      </c>
      <c r="BW185" s="133">
        <f t="shared" si="2200"/>
        <v>989.41</v>
      </c>
      <c r="BX185" s="133">
        <f t="shared" ref="BX185:CO186" si="2231">BW185-$BQ185</f>
        <v>666.81166666666661</v>
      </c>
      <c r="BY185" s="133">
        <f t="shared" si="2231"/>
        <v>344.21333333333325</v>
      </c>
      <c r="BZ185" s="133">
        <f t="shared" si="2231"/>
        <v>21.614999999999895</v>
      </c>
      <c r="CA185" s="133">
        <f t="shared" si="2231"/>
        <v>-300.98333333333346</v>
      </c>
      <c r="CB185" s="133">
        <f t="shared" si="2231"/>
        <v>-623.58166666666682</v>
      </c>
      <c r="CC185" s="133">
        <f t="shared" si="2231"/>
        <v>-946.18000000000018</v>
      </c>
      <c r="CD185" s="133">
        <f t="shared" si="2231"/>
        <v>-1268.7783333333336</v>
      </c>
      <c r="CE185" s="133">
        <f t="shared" si="2231"/>
        <v>-1591.376666666667</v>
      </c>
      <c r="CF185" s="133">
        <f t="shared" si="2231"/>
        <v>-1913.9750000000004</v>
      </c>
      <c r="CG185" s="133">
        <f t="shared" si="2231"/>
        <v>-2236.5733333333337</v>
      </c>
      <c r="CH185" s="133">
        <f t="shared" si="2231"/>
        <v>-2559.1716666666671</v>
      </c>
      <c r="CI185" s="133">
        <f t="shared" si="2231"/>
        <v>-2881.7700000000004</v>
      </c>
      <c r="CJ185" s="133">
        <f t="shared" si="2231"/>
        <v>-3204.3683333333338</v>
      </c>
      <c r="CK185" s="133">
        <f t="shared" si="2231"/>
        <v>-3526.9666666666672</v>
      </c>
      <c r="CL185" s="133">
        <f t="shared" si="2231"/>
        <v>-3849.5650000000005</v>
      </c>
      <c r="CM185" s="133">
        <f t="shared" si="2231"/>
        <v>-4172.1633333333339</v>
      </c>
      <c r="CN185" s="133">
        <f t="shared" si="2231"/>
        <v>-4494.7616666666672</v>
      </c>
      <c r="CO185" s="133">
        <f t="shared" si="2231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32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202"/>
        <v>0</v>
      </c>
      <c r="DB185" s="4">
        <f t="shared" si="2203"/>
        <v>0</v>
      </c>
      <c r="DC185" s="4">
        <f t="shared" si="2204"/>
        <v>0</v>
      </c>
      <c r="DD185" s="136">
        <f t="shared" si="2205"/>
        <v>0</v>
      </c>
      <c r="DE185" s="31">
        <v>0</v>
      </c>
      <c r="DF185" s="31">
        <v>30</v>
      </c>
      <c r="DG185" s="31">
        <v>2750</v>
      </c>
      <c r="DH185" s="48">
        <f t="shared" ref="DH185:DH192" si="2233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34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35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36">IFERROR(ROUNDUP(DS185/$EX185,0)*$EY185,0)</f>
        <v>1.5</v>
      </c>
      <c r="DV185" s="62">
        <v>0</v>
      </c>
      <c r="DW185" s="62">
        <v>0</v>
      </c>
      <c r="DX185" s="62">
        <f t="shared" ref="DX185:DX192" si="2237">$DF185*BK185/30</f>
        <v>126.02</v>
      </c>
      <c r="DY185" s="62">
        <f t="shared" ref="DY185:DY192" si="2238">DX185*$FH185</f>
        <v>16896.761600000002</v>
      </c>
      <c r="DZ185" s="48">
        <f t="shared" ref="DZ185:DZ192" si="2239">IFERROR(ROUNDUP(DX185/$EX185,0)*$EY185,0)</f>
        <v>1.5</v>
      </c>
      <c r="EA185" s="62">
        <f t="shared" ref="EA185:EA192" si="2240">$DF185*BL185/30</f>
        <v>228.43</v>
      </c>
      <c r="EB185" s="62">
        <f t="shared" ref="EB185:EB192" si="2241">EA185*$FH185</f>
        <v>30627.894400000005</v>
      </c>
      <c r="EC185" s="48">
        <f t="shared" ref="EC185:EC192" si="2242">IFERROR(ROUNDUP(EA185/$EX185,0)*$EY185,0)</f>
        <v>1.5</v>
      </c>
      <c r="ED185" s="62">
        <f t="shared" ref="ED185:ED192" si="2243">$DF185*BM185/30</f>
        <v>478.96</v>
      </c>
      <c r="EE185" s="62">
        <f t="shared" ref="EE185:EE192" si="2244">ED185*$FH185</f>
        <v>64218.9568</v>
      </c>
      <c r="EF185" s="48">
        <f t="shared" ref="EF185:EF192" si="2245">IFERROR(ROUNDUP(ED185/$EX185,0)*$EY185,0)</f>
        <v>1.5</v>
      </c>
      <c r="EG185" s="62">
        <f t="shared" ref="EG185:EG192" si="2246">$DF185*BN185/30</f>
        <v>478.96</v>
      </c>
      <c r="EH185" s="62">
        <f t="shared" ref="EH185:EH192" si="2247">EG185*$FH185</f>
        <v>64218.9568</v>
      </c>
      <c r="EI185" s="48">
        <f t="shared" ref="EI185:EI192" si="2248">IFERROR(ROUNDUP(EG185/$EX185,0)*$EY185,0)</f>
        <v>1.5</v>
      </c>
      <c r="EJ185" s="62">
        <f t="shared" ref="EJ185:EJ192" si="2249">$DF185*BO185/30</f>
        <v>311.61</v>
      </c>
      <c r="EK185" s="62">
        <f t="shared" ref="EK185:EK192" si="2250">EJ185*$FH185</f>
        <v>41780.668800000007</v>
      </c>
      <c r="EL185" s="48">
        <f t="shared" ref="EL185:EL192" si="2251">IFERROR(ROUNDUP(EJ185/$EX185,0)*$EY185,0)</f>
        <v>1.5</v>
      </c>
      <c r="EM185" s="62">
        <f t="shared" ref="EM185:EM192" si="2252">$DF185*BP185/30</f>
        <v>311.61</v>
      </c>
      <c r="EN185" s="62">
        <f t="shared" ref="EN185:EN192" si="2253">EM185*$FH185</f>
        <v>41780.668800000007</v>
      </c>
      <c r="EO185" s="48">
        <f t="shared" ref="EO185:EO192" si="2254">IFERROR(ROUNDUP(EM185/$EX185,0)*$EY185,0)</f>
        <v>1.5</v>
      </c>
      <c r="EP185" s="62">
        <f t="shared" ref="EP185:ER192" si="2255">BK185*$FH185</f>
        <v>16896.761600000002</v>
      </c>
      <c r="EQ185" s="62">
        <f t="shared" si="2255"/>
        <v>30627.894400000005</v>
      </c>
      <c r="ER185" s="62">
        <f t="shared" si="2255"/>
        <v>64218.9568</v>
      </c>
      <c r="ES185" s="62">
        <f t="shared" ref="ES185:EU192" si="2256">BN185*$FH185</f>
        <v>64218.9568</v>
      </c>
      <c r="ET185" s="62">
        <f t="shared" si="2256"/>
        <v>41780.668800000007</v>
      </c>
      <c r="EU185" s="62">
        <f t="shared" si="2256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57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 t="shared" si="1821"/>
        <v>1</v>
      </c>
      <c r="FS185" s="103" t="b">
        <f t="shared" si="1822"/>
        <v>1</v>
      </c>
      <c r="FT185" s="103" t="b">
        <f t="shared" si="1823"/>
        <v>0</v>
      </c>
      <c r="FU185" s="103" t="b">
        <f t="shared" si="1824"/>
        <v>0</v>
      </c>
      <c r="FV185" s="103" t="b">
        <f t="shared" si="1825"/>
        <v>1</v>
      </c>
      <c r="FW185" s="104" t="b">
        <f t="shared" si="1881"/>
        <v>0</v>
      </c>
      <c r="FX185" s="120" t="b">
        <f t="shared" ref="FX185:FX192" si="2258">EXACT(FQ185,BI185)</f>
        <v>1</v>
      </c>
      <c r="FY185" s="104" t="s">
        <v>368</v>
      </c>
      <c r="FZ185" s="104" t="b">
        <f t="shared" ref="FZ185:FZ192" si="2259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60">EXACT(GD185,C185)</f>
        <v>1</v>
      </c>
      <c r="GI185" s="8" t="b">
        <f t="shared" ref="GI185:GI192" si="2261">EXACT(GG185,G185)</f>
        <v>0</v>
      </c>
      <c r="GJ185" s="31" t="s">
        <v>203</v>
      </c>
    </row>
    <row r="186" spans="1:192" ht="30" hidden="1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208"/>
        <v>нет минмакс</v>
      </c>
      <c r="Q186" s="95">
        <v>2223.4310302734375</v>
      </c>
      <c r="R186" s="95">
        <f t="shared" si="2209"/>
        <v>277083.97499267576</v>
      </c>
      <c r="S186" s="114">
        <v>4170.5029296875</v>
      </c>
      <c r="T186" s="114">
        <v>581409.81342773431</v>
      </c>
      <c r="U186" s="131">
        <f t="shared" si="2210"/>
        <v>0</v>
      </c>
      <c r="V186" s="115">
        <f t="shared" si="2211"/>
        <v>7710.7568359375</v>
      </c>
      <c r="W186" s="115">
        <f t="shared" si="2212"/>
        <v>960914.51689453132</v>
      </c>
      <c r="X186" s="115">
        <f t="shared" si="2213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214"/>
        <v>0</v>
      </c>
      <c r="AF186" s="95">
        <f t="shared" si="2215"/>
        <v>0</v>
      </c>
      <c r="AG186" s="114">
        <v>0</v>
      </c>
      <c r="AH186" s="95">
        <f t="shared" si="2216"/>
        <v>7710.7568359375</v>
      </c>
      <c r="AI186" s="114">
        <f t="shared" si="2217"/>
        <v>960914.51689453132</v>
      </c>
      <c r="AJ186" s="114">
        <f t="shared" si="2218"/>
        <v>61088</v>
      </c>
      <c r="AK186" s="114">
        <f t="shared" si="2219"/>
        <v>167226</v>
      </c>
      <c r="AL186" s="114">
        <f t="shared" si="2220"/>
        <v>276723</v>
      </c>
      <c r="AM186" s="114">
        <f t="shared" si="2221"/>
        <v>0</v>
      </c>
      <c r="AN186" s="133" t="str">
        <f t="shared" si="2222"/>
        <v>нет оборота</v>
      </c>
      <c r="AO186" s="133" t="str">
        <f t="shared" si="2223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24"/>
        <v>Нет планов</v>
      </c>
      <c r="AW186" s="126">
        <f t="shared" si="2225"/>
        <v>960914.51689453132</v>
      </c>
      <c r="AX186" s="138"/>
      <c r="AY186" s="115">
        <f t="shared" si="2226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27"/>
        <v>0</v>
      </c>
      <c r="BG186" s="32">
        <v>0</v>
      </c>
      <c r="BH186" s="32">
        <f t="shared" si="2228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29"/>
        <v>0</v>
      </c>
      <c r="BR186" s="95">
        <f t="shared" si="2230"/>
        <v>7710.7568359375</v>
      </c>
      <c r="BS186" s="133">
        <f t="shared" ref="BS186:BW193" si="2262">BR186-BL186</f>
        <v>7710.7568359375</v>
      </c>
      <c r="BT186" s="133">
        <f t="shared" si="2262"/>
        <v>7710.7568359375</v>
      </c>
      <c r="BU186" s="133">
        <f t="shared" si="2262"/>
        <v>7710.7568359375</v>
      </c>
      <c r="BV186" s="133">
        <f t="shared" si="2262"/>
        <v>7710.7568359375</v>
      </c>
      <c r="BW186" s="133">
        <f t="shared" si="2262"/>
        <v>7710.7568359375</v>
      </c>
      <c r="BX186" s="133">
        <f t="shared" si="2231"/>
        <v>7710.7568359375</v>
      </c>
      <c r="BY186" s="133">
        <f t="shared" si="2231"/>
        <v>7710.7568359375</v>
      </c>
      <c r="BZ186" s="133">
        <f t="shared" si="2231"/>
        <v>7710.7568359375</v>
      </c>
      <c r="CA186" s="133">
        <f t="shared" ref="CA186:CO186" si="2263">BZ186-$BQ186</f>
        <v>7710.7568359375</v>
      </c>
      <c r="CB186" s="133">
        <f t="shared" si="2263"/>
        <v>7710.7568359375</v>
      </c>
      <c r="CC186" s="133">
        <f t="shared" si="2263"/>
        <v>7710.7568359375</v>
      </c>
      <c r="CD186" s="133">
        <f t="shared" si="2263"/>
        <v>7710.7568359375</v>
      </c>
      <c r="CE186" s="133">
        <f t="shared" si="2263"/>
        <v>7710.7568359375</v>
      </c>
      <c r="CF186" s="133">
        <f t="shared" si="2263"/>
        <v>7710.7568359375</v>
      </c>
      <c r="CG186" s="133">
        <f t="shared" si="2263"/>
        <v>7710.7568359375</v>
      </c>
      <c r="CH186" s="133">
        <f t="shared" si="2263"/>
        <v>7710.7568359375</v>
      </c>
      <c r="CI186" s="133">
        <f t="shared" si="2263"/>
        <v>7710.7568359375</v>
      </c>
      <c r="CJ186" s="133">
        <f t="shared" si="2263"/>
        <v>7710.7568359375</v>
      </c>
      <c r="CK186" s="133">
        <f t="shared" si="2263"/>
        <v>7710.7568359375</v>
      </c>
      <c r="CL186" s="133">
        <f t="shared" si="2263"/>
        <v>7710.7568359375</v>
      </c>
      <c r="CM186" s="133">
        <f t="shared" si="2263"/>
        <v>7710.7568359375</v>
      </c>
      <c r="CN186" s="133">
        <f t="shared" si="2263"/>
        <v>7710.7568359375</v>
      </c>
      <c r="CO186" s="133">
        <f t="shared" si="2263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32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202"/>
        <v>0</v>
      </c>
      <c r="DB186" s="4">
        <f t="shared" si="2203"/>
        <v>0</v>
      </c>
      <c r="DC186" s="4">
        <f t="shared" si="2204"/>
        <v>0</v>
      </c>
      <c r="DD186" s="136">
        <f t="shared" si="2205"/>
        <v>0</v>
      </c>
      <c r="DE186" s="31">
        <v>0</v>
      </c>
      <c r="DG186" s="31">
        <v>0</v>
      </c>
      <c r="DH186" s="48">
        <f t="shared" si="2233"/>
        <v>0</v>
      </c>
      <c r="DI186" s="62">
        <v>4417.1660000000002</v>
      </c>
      <c r="DJ186" s="62">
        <v>599413.91599999997</v>
      </c>
      <c r="DK186" s="48">
        <f t="shared" si="2234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35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36"/>
        <v>0</v>
      </c>
      <c r="DV186" s="62">
        <v>76906.925000000017</v>
      </c>
      <c r="DW186" s="62">
        <v>10755806.994647266</v>
      </c>
      <c r="DX186" s="62">
        <f t="shared" si="2237"/>
        <v>0</v>
      </c>
      <c r="DY186" s="62">
        <f t="shared" si="2238"/>
        <v>0</v>
      </c>
      <c r="DZ186" s="48">
        <f t="shared" si="2239"/>
        <v>0</v>
      </c>
      <c r="EA186" s="62">
        <f t="shared" si="2240"/>
        <v>0</v>
      </c>
      <c r="EB186" s="62">
        <f t="shared" si="2241"/>
        <v>0</v>
      </c>
      <c r="EC186" s="48">
        <f t="shared" si="2242"/>
        <v>0</v>
      </c>
      <c r="ED186" s="62">
        <f t="shared" si="2243"/>
        <v>0</v>
      </c>
      <c r="EE186" s="62">
        <f t="shared" si="2244"/>
        <v>0</v>
      </c>
      <c r="EF186" s="48">
        <f t="shared" si="2245"/>
        <v>0</v>
      </c>
      <c r="EG186" s="62">
        <f t="shared" si="2246"/>
        <v>0</v>
      </c>
      <c r="EH186" s="62">
        <f t="shared" si="2247"/>
        <v>0</v>
      </c>
      <c r="EI186" s="48">
        <f t="shared" si="2248"/>
        <v>0</v>
      </c>
      <c r="EJ186" s="62">
        <f t="shared" si="2249"/>
        <v>0</v>
      </c>
      <c r="EK186" s="62">
        <f t="shared" si="2250"/>
        <v>0</v>
      </c>
      <c r="EL186" s="48">
        <f t="shared" si="2251"/>
        <v>0</v>
      </c>
      <c r="EM186" s="62">
        <f t="shared" si="2252"/>
        <v>0</v>
      </c>
      <c r="EN186" s="62">
        <f t="shared" si="2253"/>
        <v>0</v>
      </c>
      <c r="EO186" s="48">
        <f t="shared" si="2254"/>
        <v>0</v>
      </c>
      <c r="EP186" s="62">
        <f t="shared" si="2255"/>
        <v>0</v>
      </c>
      <c r="EQ186" s="62">
        <f t="shared" si="2255"/>
        <v>0</v>
      </c>
      <c r="ER186" s="62">
        <f t="shared" si="2255"/>
        <v>0</v>
      </c>
      <c r="ES186" s="62">
        <f t="shared" si="2256"/>
        <v>0</v>
      </c>
      <c r="ET186" s="62">
        <f t="shared" si="2256"/>
        <v>0</v>
      </c>
      <c r="EU186" s="62">
        <f t="shared" si="2256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57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 t="shared" si="1821"/>
        <v>1</v>
      </c>
      <c r="FS186" s="120" t="b">
        <f t="shared" si="1822"/>
        <v>1</v>
      </c>
      <c r="FT186" s="120" t="b">
        <f t="shared" si="1823"/>
        <v>1</v>
      </c>
      <c r="FU186" s="120" t="b">
        <f t="shared" si="1824"/>
        <v>1</v>
      </c>
      <c r="FV186" s="120" t="b">
        <f t="shared" si="1825"/>
        <v>1</v>
      </c>
      <c r="FW186" s="104" t="b">
        <f t="shared" si="1881"/>
        <v>0</v>
      </c>
      <c r="FX186" s="120" t="b">
        <f t="shared" si="2258"/>
        <v>1</v>
      </c>
      <c r="FY186" s="104" t="s">
        <v>368</v>
      </c>
      <c r="FZ186" s="104" t="b">
        <f t="shared" si="2259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60"/>
        <v>1</v>
      </c>
      <c r="GI186" s="8" t="b">
        <f t="shared" si="2261"/>
        <v>0</v>
      </c>
      <c r="GJ186" s="31" t="s">
        <v>203</v>
      </c>
    </row>
    <row r="187" spans="1:192" hidden="1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208"/>
        <v>больше макс</v>
      </c>
      <c r="Q187" s="95">
        <v>312920</v>
      </c>
      <c r="R187" s="95">
        <f t="shared" si="2209"/>
        <v>197139.6</v>
      </c>
      <c r="S187" s="131">
        <v>916025</v>
      </c>
      <c r="T187" s="131">
        <v>577095.75</v>
      </c>
      <c r="U187" s="131">
        <f t="shared" si="2210"/>
        <v>3</v>
      </c>
      <c r="V187" s="113">
        <f t="shared" si="2211"/>
        <v>478590</v>
      </c>
      <c r="W187" s="113">
        <f t="shared" si="2212"/>
        <v>301511.7</v>
      </c>
      <c r="X187" s="113">
        <f t="shared" si="2213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214"/>
        <v>0</v>
      </c>
      <c r="AF187" s="95">
        <f t="shared" si="2215"/>
        <v>0</v>
      </c>
      <c r="AG187" s="114">
        <v>0</v>
      </c>
      <c r="AH187" s="95">
        <f t="shared" si="2216"/>
        <v>478590</v>
      </c>
      <c r="AI187" s="114">
        <f t="shared" si="2217"/>
        <v>301511.7</v>
      </c>
      <c r="AJ187" s="133">
        <f t="shared" si="2218"/>
        <v>324773</v>
      </c>
      <c r="AK187" s="133">
        <f t="shared" si="2219"/>
        <v>765952</v>
      </c>
      <c r="AL187" s="133">
        <f t="shared" si="2220"/>
        <v>1379660</v>
      </c>
      <c r="AM187" s="133">
        <f t="shared" si="2221"/>
        <v>2842884</v>
      </c>
      <c r="AN187" s="133">
        <f t="shared" si="2222"/>
        <v>57.999024933834797</v>
      </c>
      <c r="AO187" s="133" t="str">
        <f t="shared" si="2223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24"/>
        <v>0-02</v>
      </c>
      <c r="AW187" s="117">
        <f t="shared" si="2225"/>
        <v>0</v>
      </c>
      <c r="AX187" s="14"/>
      <c r="AY187" s="25">
        <f t="shared" si="2226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27"/>
        <v>0</v>
      </c>
      <c r="BG187" s="32">
        <v>0</v>
      </c>
      <c r="BH187" s="32">
        <f t="shared" si="2228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29"/>
        <v>473814</v>
      </c>
      <c r="BR187" s="95">
        <f t="shared" si="2230"/>
        <v>226255</v>
      </c>
      <c r="BS187" s="133">
        <f t="shared" si="2262"/>
        <v>-115955</v>
      </c>
      <c r="BT187" s="133">
        <f t="shared" si="2262"/>
        <v>-328842</v>
      </c>
      <c r="BU187" s="133">
        <f t="shared" si="2262"/>
        <v>-723209</v>
      </c>
      <c r="BV187" s="133">
        <f t="shared" si="2262"/>
        <v>-1518508</v>
      </c>
      <c r="BW187" s="133">
        <f t="shared" si="2262"/>
        <v>-2364294</v>
      </c>
      <c r="BX187" s="133">
        <f t="shared" ref="BX187:CO189" si="2264">BW187-$BQ187</f>
        <v>-2838108</v>
      </c>
      <c r="BY187" s="133">
        <f t="shared" si="2264"/>
        <v>-3311922</v>
      </c>
      <c r="BZ187" s="133">
        <f t="shared" si="2264"/>
        <v>-3785736</v>
      </c>
      <c r="CA187" s="133">
        <f t="shared" si="2264"/>
        <v>-4259550</v>
      </c>
      <c r="CB187" s="133">
        <f t="shared" si="2264"/>
        <v>-4733364</v>
      </c>
      <c r="CC187" s="133">
        <f t="shared" si="2264"/>
        <v>-5207178</v>
      </c>
      <c r="CD187" s="133">
        <f t="shared" si="2264"/>
        <v>-5680992</v>
      </c>
      <c r="CE187" s="133">
        <f t="shared" si="2264"/>
        <v>-6154806</v>
      </c>
      <c r="CF187" s="133">
        <f t="shared" si="2264"/>
        <v>-6628620</v>
      </c>
      <c r="CG187" s="133">
        <f t="shared" si="2264"/>
        <v>-7102434</v>
      </c>
      <c r="CH187" s="133">
        <f t="shared" si="2264"/>
        <v>-7576248</v>
      </c>
      <c r="CI187" s="133">
        <f t="shared" si="2264"/>
        <v>-8050062</v>
      </c>
      <c r="CJ187" s="133">
        <f t="shared" si="2264"/>
        <v>-8523876</v>
      </c>
      <c r="CK187" s="133">
        <f t="shared" si="2264"/>
        <v>-8997690</v>
      </c>
      <c r="CL187" s="133">
        <f t="shared" si="2264"/>
        <v>-9471504</v>
      </c>
      <c r="CM187" s="133">
        <f t="shared" si="2264"/>
        <v>-9945318</v>
      </c>
      <c r="CN187" s="133">
        <f t="shared" si="2264"/>
        <v>-10419132</v>
      </c>
      <c r="CO187" s="133">
        <f t="shared" si="2264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32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202"/>
        <v>0</v>
      </c>
      <c r="DB187" s="4">
        <f t="shared" si="2203"/>
        <v>0</v>
      </c>
      <c r="DC187" s="4">
        <f t="shared" si="2204"/>
        <v>0</v>
      </c>
      <c r="DD187" s="136">
        <f t="shared" si="2205"/>
        <v>0</v>
      </c>
      <c r="DE187" s="31">
        <v>0</v>
      </c>
      <c r="DF187" s="31">
        <v>25</v>
      </c>
      <c r="DG187" s="31">
        <v>813212</v>
      </c>
      <c r="DH187" s="48">
        <f t="shared" si="2233"/>
        <v>3</v>
      </c>
      <c r="DI187" s="62">
        <v>1214641.7749999999</v>
      </c>
      <c r="DJ187" s="62">
        <v>764579.73399999994</v>
      </c>
      <c r="DK187" s="48">
        <f t="shared" si="2234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35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36"/>
        <v>3</v>
      </c>
      <c r="DV187" s="62">
        <v>168111</v>
      </c>
      <c r="DW187" s="62">
        <v>107056.18926726766</v>
      </c>
      <c r="DX187" s="62">
        <f t="shared" si="2237"/>
        <v>210279.16666666666</v>
      </c>
      <c r="DY187" s="62">
        <f t="shared" si="2238"/>
        <v>132475.875</v>
      </c>
      <c r="DZ187" s="48">
        <f t="shared" si="2239"/>
        <v>1</v>
      </c>
      <c r="EA187" s="62">
        <f t="shared" si="2240"/>
        <v>285175</v>
      </c>
      <c r="EB187" s="62">
        <f t="shared" si="2241"/>
        <v>179660.25</v>
      </c>
      <c r="EC187" s="48">
        <f t="shared" si="2242"/>
        <v>1</v>
      </c>
      <c r="ED187" s="62">
        <f t="shared" si="2243"/>
        <v>177405.83333333334</v>
      </c>
      <c r="EE187" s="62">
        <f t="shared" si="2244"/>
        <v>111765.675</v>
      </c>
      <c r="EF187" s="48">
        <f t="shared" si="2245"/>
        <v>1</v>
      </c>
      <c r="EG187" s="62">
        <f t="shared" si="2246"/>
        <v>328639.16666666669</v>
      </c>
      <c r="EH187" s="62">
        <f t="shared" si="2247"/>
        <v>207042.67500000002</v>
      </c>
      <c r="EI187" s="48">
        <f t="shared" si="2248"/>
        <v>1</v>
      </c>
      <c r="EJ187" s="62">
        <f t="shared" si="2249"/>
        <v>662749.16666666663</v>
      </c>
      <c r="EK187" s="62">
        <f t="shared" si="2250"/>
        <v>417531.97499999998</v>
      </c>
      <c r="EL187" s="48">
        <f t="shared" si="2251"/>
        <v>2</v>
      </c>
      <c r="EM187" s="62">
        <f t="shared" si="2252"/>
        <v>704821.66666666663</v>
      </c>
      <c r="EN187" s="62">
        <f t="shared" si="2253"/>
        <v>444037.64999999997</v>
      </c>
      <c r="EO187" s="48">
        <f t="shared" si="2254"/>
        <v>2</v>
      </c>
      <c r="EP187" s="62">
        <f t="shared" si="2255"/>
        <v>158971.04999999999</v>
      </c>
      <c r="EQ187" s="62">
        <f t="shared" si="2255"/>
        <v>215592.3</v>
      </c>
      <c r="ER187" s="62">
        <f t="shared" si="2255"/>
        <v>134118.81</v>
      </c>
      <c r="ES187" s="62">
        <f t="shared" si="2256"/>
        <v>248451.21</v>
      </c>
      <c r="ET187" s="62">
        <f t="shared" si="2256"/>
        <v>501038.37</v>
      </c>
      <c r="EU187" s="62">
        <f t="shared" si="2256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57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 t="shared" si="1821"/>
        <v>0</v>
      </c>
      <c r="FS187" s="103" t="b">
        <f t="shared" si="1822"/>
        <v>1</v>
      </c>
      <c r="FT187" s="103" t="b">
        <f t="shared" si="1823"/>
        <v>0</v>
      </c>
      <c r="FU187" s="103" t="b">
        <f t="shared" si="1824"/>
        <v>0</v>
      </c>
      <c r="FV187" s="103" t="b">
        <f t="shared" si="1825"/>
        <v>1</v>
      </c>
      <c r="FW187" s="104" t="b">
        <f t="shared" si="1881"/>
        <v>0</v>
      </c>
      <c r="FX187" s="120" t="b">
        <f t="shared" si="2258"/>
        <v>1</v>
      </c>
      <c r="FY187" s="104" t="s">
        <v>368</v>
      </c>
      <c r="FZ187" s="104" t="b">
        <f t="shared" si="2259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60"/>
        <v>1</v>
      </c>
      <c r="GI187" s="8" t="b">
        <f t="shared" si="2261"/>
        <v>0</v>
      </c>
      <c r="GJ187" s="31" t="s">
        <v>203</v>
      </c>
    </row>
    <row r="188" spans="1:192" hidden="1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208"/>
        <v>нет минмакс</v>
      </c>
      <c r="Q188" s="95">
        <v>10733</v>
      </c>
      <c r="R188" s="95">
        <f t="shared" si="2209"/>
        <v>145968.79999999999</v>
      </c>
      <c r="S188" s="114">
        <v>42057</v>
      </c>
      <c r="T188" s="114">
        <v>571975.19999999995</v>
      </c>
      <c r="U188" s="131">
        <f t="shared" si="2210"/>
        <v>37</v>
      </c>
      <c r="V188" s="115">
        <f t="shared" si="2211"/>
        <v>10174</v>
      </c>
      <c r="W188" s="115">
        <f t="shared" si="2212"/>
        <v>138366.39999999999</v>
      </c>
      <c r="X188" s="115">
        <f t="shared" si="2213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214"/>
        <v>0</v>
      </c>
      <c r="AF188" s="95">
        <f t="shared" si="2215"/>
        <v>0</v>
      </c>
      <c r="AG188" s="114">
        <v>0</v>
      </c>
      <c r="AH188" s="95">
        <f t="shared" si="2216"/>
        <v>10174</v>
      </c>
      <c r="AI188" s="114">
        <f t="shared" si="2217"/>
        <v>138366.39999999999</v>
      </c>
      <c r="AJ188" s="114">
        <f t="shared" si="2218"/>
        <v>11294</v>
      </c>
      <c r="AK188" s="114">
        <f t="shared" si="2219"/>
        <v>43345</v>
      </c>
      <c r="AL188" s="114">
        <f t="shared" si="2220"/>
        <v>49011</v>
      </c>
      <c r="AM188" s="114">
        <f t="shared" si="2221"/>
        <v>89018</v>
      </c>
      <c r="AN188" s="133">
        <f t="shared" si="2222"/>
        <v>85.041901637870978</v>
      </c>
      <c r="AO188" s="133" t="str">
        <f t="shared" si="2223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24"/>
        <v>0-02</v>
      </c>
      <c r="AW188" s="126">
        <f t="shared" si="2225"/>
        <v>0</v>
      </c>
      <c r="AX188" s="138"/>
      <c r="AY188" s="115">
        <f t="shared" si="2226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27"/>
        <v>0</v>
      </c>
      <c r="BG188" s="32">
        <v>0</v>
      </c>
      <c r="BH188" s="32">
        <f t="shared" si="2228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29"/>
        <v>14836.333333333334</v>
      </c>
      <c r="BR188" s="95">
        <f t="shared" si="2230"/>
        <v>1722</v>
      </c>
      <c r="BS188" s="133">
        <f t="shared" si="2262"/>
        <v>-13071</v>
      </c>
      <c r="BT188" s="133">
        <f t="shared" si="2262"/>
        <v>-28764</v>
      </c>
      <c r="BU188" s="133">
        <f t="shared" si="2262"/>
        <v>-44348</v>
      </c>
      <c r="BV188" s="133">
        <f t="shared" si="2262"/>
        <v>-60994</v>
      </c>
      <c r="BW188" s="133">
        <f t="shared" si="2262"/>
        <v>-78285</v>
      </c>
      <c r="BX188" s="133">
        <f t="shared" si="2264"/>
        <v>-93121.333333333328</v>
      </c>
      <c r="BY188" s="133">
        <f t="shared" si="2264"/>
        <v>-107957.66666666666</v>
      </c>
      <c r="BZ188" s="133">
        <f t="shared" si="2264"/>
        <v>-122793.99999999999</v>
      </c>
      <c r="CA188" s="133">
        <f t="shared" si="2264"/>
        <v>-137630.33333333331</v>
      </c>
      <c r="CB188" s="133">
        <f t="shared" si="2264"/>
        <v>-152466.66666666666</v>
      </c>
      <c r="CC188" s="133">
        <f t="shared" si="2264"/>
        <v>-167303</v>
      </c>
      <c r="CD188" s="133">
        <f t="shared" si="2264"/>
        <v>-182139.33333333334</v>
      </c>
      <c r="CE188" s="133">
        <f t="shared" si="2264"/>
        <v>-196975.66666666669</v>
      </c>
      <c r="CF188" s="133">
        <f t="shared" si="2264"/>
        <v>-211812.00000000003</v>
      </c>
      <c r="CG188" s="133">
        <f t="shared" si="2264"/>
        <v>-226648.33333333337</v>
      </c>
      <c r="CH188" s="133">
        <f t="shared" si="2264"/>
        <v>-241484.66666666672</v>
      </c>
      <c r="CI188" s="133">
        <f t="shared" si="2264"/>
        <v>-256321.00000000006</v>
      </c>
      <c r="CJ188" s="133">
        <f t="shared" si="2264"/>
        <v>-271157.33333333337</v>
      </c>
      <c r="CK188" s="133">
        <f t="shared" si="2264"/>
        <v>-285993.66666666669</v>
      </c>
      <c r="CL188" s="133">
        <f t="shared" si="2264"/>
        <v>-300830</v>
      </c>
      <c r="CM188" s="133">
        <f t="shared" si="2264"/>
        <v>-315666.33333333331</v>
      </c>
      <c r="CN188" s="133">
        <f t="shared" si="2264"/>
        <v>-330502.66666666663</v>
      </c>
      <c r="CO188" s="133">
        <f t="shared" si="2264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32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202"/>
        <v>0</v>
      </c>
      <c r="DB188" s="4">
        <f t="shared" si="2203"/>
        <v>0</v>
      </c>
      <c r="DC188" s="4">
        <f t="shared" si="2204"/>
        <v>0</v>
      </c>
      <c r="DD188" s="136">
        <f t="shared" si="2205"/>
        <v>0</v>
      </c>
      <c r="DE188" s="31">
        <v>0</v>
      </c>
      <c r="DG188" s="31">
        <v>0</v>
      </c>
      <c r="DH188" s="48">
        <f t="shared" si="2233"/>
        <v>0</v>
      </c>
      <c r="DI188" s="62">
        <v>59744</v>
      </c>
      <c r="DJ188" s="62">
        <v>812608.13</v>
      </c>
      <c r="DK188" s="48">
        <f t="shared" si="2234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35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36"/>
        <v>40</v>
      </c>
      <c r="DV188" s="62">
        <v>12021</v>
      </c>
      <c r="DW188" s="62">
        <v>163503.66364171123</v>
      </c>
      <c r="DX188" s="62">
        <f t="shared" si="2237"/>
        <v>0</v>
      </c>
      <c r="DY188" s="62">
        <f t="shared" si="2238"/>
        <v>0</v>
      </c>
      <c r="DZ188" s="48">
        <f t="shared" si="2239"/>
        <v>0</v>
      </c>
      <c r="EA188" s="62">
        <f t="shared" si="2240"/>
        <v>0</v>
      </c>
      <c r="EB188" s="62">
        <f t="shared" si="2241"/>
        <v>0</v>
      </c>
      <c r="EC188" s="48">
        <f t="shared" si="2242"/>
        <v>0</v>
      </c>
      <c r="ED188" s="62">
        <f t="shared" si="2243"/>
        <v>0</v>
      </c>
      <c r="EE188" s="62">
        <f t="shared" si="2244"/>
        <v>0</v>
      </c>
      <c r="EF188" s="48">
        <f t="shared" si="2245"/>
        <v>0</v>
      </c>
      <c r="EG188" s="62">
        <f t="shared" si="2246"/>
        <v>0</v>
      </c>
      <c r="EH188" s="62">
        <f t="shared" si="2247"/>
        <v>0</v>
      </c>
      <c r="EI188" s="48">
        <f t="shared" si="2248"/>
        <v>0</v>
      </c>
      <c r="EJ188" s="62">
        <f t="shared" si="2249"/>
        <v>0</v>
      </c>
      <c r="EK188" s="62">
        <f t="shared" si="2250"/>
        <v>0</v>
      </c>
      <c r="EL188" s="48">
        <f t="shared" si="2251"/>
        <v>0</v>
      </c>
      <c r="EM188" s="62">
        <f t="shared" si="2252"/>
        <v>0</v>
      </c>
      <c r="EN188" s="62">
        <f t="shared" si="2253"/>
        <v>0</v>
      </c>
      <c r="EO188" s="48">
        <f t="shared" si="2254"/>
        <v>0</v>
      </c>
      <c r="EP188" s="62">
        <f t="shared" si="2255"/>
        <v>122549.59999999999</v>
      </c>
      <c r="EQ188" s="62">
        <f t="shared" si="2255"/>
        <v>201184.8</v>
      </c>
      <c r="ER188" s="62">
        <f t="shared" si="2255"/>
        <v>213424.8</v>
      </c>
      <c r="ES188" s="62">
        <f t="shared" si="2256"/>
        <v>211942.39999999999</v>
      </c>
      <c r="ET188" s="62">
        <f t="shared" si="2256"/>
        <v>226385.6</v>
      </c>
      <c r="EU188" s="62">
        <f t="shared" si="2256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57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 t="shared" si="1821"/>
        <v>1</v>
      </c>
      <c r="FS188" s="120" t="b">
        <f t="shared" si="1822"/>
        <v>1</v>
      </c>
      <c r="FT188" s="120" t="b">
        <f t="shared" si="1823"/>
        <v>1</v>
      </c>
      <c r="FU188" s="120" t="b">
        <f t="shared" si="1824"/>
        <v>1</v>
      </c>
      <c r="FV188" s="120" t="b">
        <f t="shared" si="1825"/>
        <v>1</v>
      </c>
      <c r="FW188" s="104" t="b">
        <f t="shared" si="1881"/>
        <v>0</v>
      </c>
      <c r="FX188" s="120" t="b">
        <f t="shared" si="2258"/>
        <v>1</v>
      </c>
      <c r="FY188" s="104" t="s">
        <v>368</v>
      </c>
      <c r="FZ188" s="104" t="b">
        <f t="shared" si="2259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60"/>
        <v>1</v>
      </c>
      <c r="GI188" s="8" t="b">
        <f t="shared" si="2261"/>
        <v>0</v>
      </c>
      <c r="GJ188" s="31" t="s">
        <v>203</v>
      </c>
    </row>
    <row r="189" spans="1:192" hidden="1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208"/>
        <v>нет минмакс</v>
      </c>
      <c r="Q189" s="95">
        <v>1061145</v>
      </c>
      <c r="R189" s="95">
        <f t="shared" si="2209"/>
        <v>859527.45000000007</v>
      </c>
      <c r="S189" s="114">
        <v>686492</v>
      </c>
      <c r="T189" s="114">
        <v>569788.36</v>
      </c>
      <c r="U189" s="131">
        <f t="shared" si="2210"/>
        <v>25</v>
      </c>
      <c r="V189" s="115">
        <f t="shared" si="2211"/>
        <v>314504</v>
      </c>
      <c r="W189" s="115">
        <f t="shared" si="2212"/>
        <v>254748.24000000002</v>
      </c>
      <c r="X189" s="115">
        <f t="shared" si="2213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214"/>
        <v>0</v>
      </c>
      <c r="AF189" s="95">
        <f t="shared" si="2215"/>
        <v>0</v>
      </c>
      <c r="AG189" s="114">
        <v>0</v>
      </c>
      <c r="AH189" s="95">
        <f t="shared" si="2216"/>
        <v>314504</v>
      </c>
      <c r="AI189" s="114">
        <f t="shared" si="2217"/>
        <v>254748.24000000002</v>
      </c>
      <c r="AJ189" s="114">
        <f t="shared" si="2218"/>
        <v>1029830</v>
      </c>
      <c r="AK189" s="114">
        <f t="shared" si="2219"/>
        <v>2496434</v>
      </c>
      <c r="AL189" s="114">
        <f t="shared" si="2220"/>
        <v>5018866</v>
      </c>
      <c r="AM189" s="114">
        <f t="shared" si="2221"/>
        <v>7023558</v>
      </c>
      <c r="AN189" s="133">
        <f t="shared" si="2222"/>
        <v>17.593441956341785</v>
      </c>
      <c r="AO189" s="133" t="str">
        <f t="shared" si="2223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24"/>
        <v>0-02</v>
      </c>
      <c r="AW189" s="126">
        <f t="shared" si="2225"/>
        <v>0</v>
      </c>
      <c r="AX189" s="138"/>
      <c r="AY189" s="115">
        <f t="shared" si="2226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27"/>
        <v>0</v>
      </c>
      <c r="BG189" s="32">
        <v>0</v>
      </c>
      <c r="BH189" s="32">
        <f t="shared" si="2228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29"/>
        <v>1170593</v>
      </c>
      <c r="BR189" s="95">
        <f t="shared" si="2230"/>
        <v>296109</v>
      </c>
      <c r="BS189" s="133">
        <f t="shared" si="2262"/>
        <v>-1241695</v>
      </c>
      <c r="BT189" s="133">
        <f t="shared" si="2262"/>
        <v>-2543308</v>
      </c>
      <c r="BU189" s="133">
        <f t="shared" si="2262"/>
        <v>-3659712</v>
      </c>
      <c r="BV189" s="133">
        <f t="shared" si="2262"/>
        <v>-4827228</v>
      </c>
      <c r="BW189" s="133">
        <f t="shared" si="2262"/>
        <v>-5962413</v>
      </c>
      <c r="BX189" s="133">
        <f t="shared" si="2264"/>
        <v>-7133006</v>
      </c>
      <c r="BY189" s="133">
        <f t="shared" si="2264"/>
        <v>-8303599</v>
      </c>
      <c r="BZ189" s="133">
        <f t="shared" si="2264"/>
        <v>-9474192</v>
      </c>
      <c r="CA189" s="133">
        <f t="shared" si="2264"/>
        <v>-10644785</v>
      </c>
      <c r="CB189" s="133">
        <f t="shared" si="2264"/>
        <v>-11815378</v>
      </c>
      <c r="CC189" s="133">
        <f t="shared" si="2264"/>
        <v>-12985971</v>
      </c>
      <c r="CD189" s="133">
        <f t="shared" si="2264"/>
        <v>-14156564</v>
      </c>
      <c r="CE189" s="133">
        <f t="shared" si="2264"/>
        <v>-15327157</v>
      </c>
      <c r="CF189" s="133">
        <f t="shared" si="2264"/>
        <v>-16497750</v>
      </c>
      <c r="CG189" s="133">
        <f t="shared" si="2264"/>
        <v>-17668343</v>
      </c>
      <c r="CH189" s="133">
        <f t="shared" si="2264"/>
        <v>-18838936</v>
      </c>
      <c r="CI189" s="133">
        <f t="shared" si="2264"/>
        <v>-20009529</v>
      </c>
      <c r="CJ189" s="133">
        <f t="shared" si="2264"/>
        <v>-21180122</v>
      </c>
      <c r="CK189" s="133">
        <f t="shared" si="2264"/>
        <v>-22350715</v>
      </c>
      <c r="CL189" s="133">
        <f t="shared" si="2264"/>
        <v>-23521308</v>
      </c>
      <c r="CM189" s="133">
        <f t="shared" si="2264"/>
        <v>-24691901</v>
      </c>
      <c r="CN189" s="133">
        <f t="shared" si="2264"/>
        <v>-25862494</v>
      </c>
      <c r="CO189" s="133">
        <f t="shared" si="2264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32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202"/>
        <v>0</v>
      </c>
      <c r="DB189" s="4">
        <f t="shared" si="2203"/>
        <v>0</v>
      </c>
      <c r="DC189" s="4">
        <f t="shared" si="2204"/>
        <v>0</v>
      </c>
      <c r="DD189" s="136">
        <f t="shared" si="2205"/>
        <v>0</v>
      </c>
      <c r="DE189" s="31">
        <v>0</v>
      </c>
      <c r="DG189" s="31">
        <v>0</v>
      </c>
      <c r="DH189" s="48">
        <f t="shared" si="2233"/>
        <v>0</v>
      </c>
      <c r="DI189" s="62">
        <v>2319760.6450000005</v>
      </c>
      <c r="DJ189" s="62">
        <v>1899248.07</v>
      </c>
      <c r="DK189" s="48">
        <f t="shared" si="2234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35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36"/>
        <v>41</v>
      </c>
      <c r="DV189" s="62">
        <v>893174</v>
      </c>
      <c r="DW189" s="62">
        <v>738769.14434741333</v>
      </c>
      <c r="DX189" s="62">
        <f t="shared" si="2237"/>
        <v>0</v>
      </c>
      <c r="DY189" s="62">
        <f t="shared" si="2238"/>
        <v>0</v>
      </c>
      <c r="DZ189" s="48">
        <f t="shared" si="2239"/>
        <v>0</v>
      </c>
      <c r="EA189" s="62">
        <f t="shared" si="2240"/>
        <v>0</v>
      </c>
      <c r="EB189" s="62">
        <f t="shared" si="2241"/>
        <v>0</v>
      </c>
      <c r="EC189" s="48">
        <f t="shared" si="2242"/>
        <v>0</v>
      </c>
      <c r="ED189" s="62">
        <f t="shared" si="2243"/>
        <v>0</v>
      </c>
      <c r="EE189" s="62">
        <f t="shared" si="2244"/>
        <v>0</v>
      </c>
      <c r="EF189" s="48">
        <f t="shared" si="2245"/>
        <v>0</v>
      </c>
      <c r="EG189" s="62">
        <f t="shared" si="2246"/>
        <v>0</v>
      </c>
      <c r="EH189" s="62">
        <f t="shared" si="2247"/>
        <v>0</v>
      </c>
      <c r="EI189" s="48">
        <f t="shared" si="2248"/>
        <v>0</v>
      </c>
      <c r="EJ189" s="62">
        <f t="shared" si="2249"/>
        <v>0</v>
      </c>
      <c r="EK189" s="62">
        <f t="shared" si="2250"/>
        <v>0</v>
      </c>
      <c r="EL189" s="48">
        <f t="shared" si="2251"/>
        <v>0</v>
      </c>
      <c r="EM189" s="62">
        <f t="shared" si="2252"/>
        <v>0</v>
      </c>
      <c r="EN189" s="62">
        <f t="shared" si="2253"/>
        <v>0</v>
      </c>
      <c r="EO189" s="48">
        <f t="shared" si="2254"/>
        <v>0</v>
      </c>
      <c r="EP189" s="62">
        <f t="shared" si="2255"/>
        <v>619679.16</v>
      </c>
      <c r="EQ189" s="62">
        <f t="shared" si="2255"/>
        <v>1245621.24</v>
      </c>
      <c r="ER189" s="62">
        <f t="shared" si="2255"/>
        <v>1054306.53</v>
      </c>
      <c r="ES189" s="62">
        <f t="shared" si="2256"/>
        <v>904287.24000000011</v>
      </c>
      <c r="ET189" s="62">
        <f t="shared" si="2256"/>
        <v>945687.96000000008</v>
      </c>
      <c r="EU189" s="62">
        <f t="shared" si="2256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57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 t="shared" si="1821"/>
        <v>1</v>
      </c>
      <c r="FS189" s="120" t="b">
        <f t="shared" si="1822"/>
        <v>1</v>
      </c>
      <c r="FT189" s="120" t="b">
        <f t="shared" si="1823"/>
        <v>1</v>
      </c>
      <c r="FU189" s="120" t="b">
        <f t="shared" si="1824"/>
        <v>1</v>
      </c>
      <c r="FV189" s="120" t="b">
        <f t="shared" si="1825"/>
        <v>1</v>
      </c>
      <c r="FW189" s="104" t="b">
        <f t="shared" si="1881"/>
        <v>0</v>
      </c>
      <c r="FX189" s="120" t="b">
        <f t="shared" si="2258"/>
        <v>1</v>
      </c>
      <c r="FY189" s="104" t="s">
        <v>368</v>
      </c>
      <c r="FZ189" s="104" t="b">
        <f t="shared" si="2259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60"/>
        <v>1</v>
      </c>
      <c r="GI189" s="8" t="b">
        <f t="shared" si="2261"/>
        <v>0</v>
      </c>
      <c r="GJ189" s="31" t="s">
        <v>203</v>
      </c>
    </row>
    <row r="190" spans="1:192" hidden="1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208"/>
        <v>нет минмакс</v>
      </c>
      <c r="Q190" s="95">
        <v>336000</v>
      </c>
      <c r="R190" s="95">
        <f t="shared" si="2209"/>
        <v>275520</v>
      </c>
      <c r="S190" s="114">
        <v>649595</v>
      </c>
      <c r="T190" s="114">
        <v>532667.9</v>
      </c>
      <c r="U190" s="131">
        <f t="shared" si="2210"/>
        <v>24</v>
      </c>
      <c r="V190" s="115">
        <f t="shared" si="2211"/>
        <v>436306</v>
      </c>
      <c r="W190" s="115">
        <f t="shared" si="2212"/>
        <v>357770.92</v>
      </c>
      <c r="X190" s="115">
        <f t="shared" si="2213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214"/>
        <v>0</v>
      </c>
      <c r="AF190" s="95">
        <f t="shared" si="2215"/>
        <v>0</v>
      </c>
      <c r="AG190" s="114">
        <v>0</v>
      </c>
      <c r="AH190" s="95">
        <f t="shared" si="2216"/>
        <v>436306</v>
      </c>
      <c r="AI190" s="114">
        <f t="shared" si="2217"/>
        <v>357770.92</v>
      </c>
      <c r="AJ190" s="114">
        <f t="shared" si="2218"/>
        <v>131748</v>
      </c>
      <c r="AK190" s="114">
        <f t="shared" si="2219"/>
        <v>460090</v>
      </c>
      <c r="AL190" s="114">
        <f t="shared" si="2220"/>
        <v>697635</v>
      </c>
      <c r="AM190" s="114">
        <f t="shared" si="2221"/>
        <v>1576558</v>
      </c>
      <c r="AN190" s="133">
        <f t="shared" si="2222"/>
        <v>74.166063030982684</v>
      </c>
      <c r="AO190" s="133" t="str">
        <f t="shared" si="2223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24"/>
        <v>0-02</v>
      </c>
      <c r="AW190" s="126">
        <f t="shared" si="2225"/>
        <v>0</v>
      </c>
      <c r="AX190" s="138"/>
      <c r="AY190" s="115">
        <f t="shared" si="2226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27"/>
        <v>0</v>
      </c>
      <c r="BG190" s="32">
        <v>0</v>
      </c>
      <c r="BH190" s="32">
        <f t="shared" si="2228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29"/>
        <v>262759.66666666669</v>
      </c>
      <c r="BR190" s="95">
        <f t="shared" si="2230"/>
        <v>336662</v>
      </c>
      <c r="BS190" s="133">
        <f t="shared" si="2262"/>
        <v>-6949</v>
      </c>
      <c r="BT190" s="133">
        <f t="shared" si="2262"/>
        <v>-339748</v>
      </c>
      <c r="BU190" s="133">
        <f t="shared" si="2262"/>
        <v>-587996</v>
      </c>
      <c r="BV190" s="133">
        <f t="shared" si="2262"/>
        <v>-939899</v>
      </c>
      <c r="BW190" s="133">
        <f t="shared" si="2262"/>
        <v>-1140252</v>
      </c>
      <c r="BX190" s="133">
        <f t="shared" ref="BX190:CO193" si="2265">BW190-$BQ190</f>
        <v>-1403011.6666666667</v>
      </c>
      <c r="BY190" s="133">
        <f t="shared" si="2265"/>
        <v>-1665771.3333333335</v>
      </c>
      <c r="BZ190" s="133">
        <f t="shared" si="2265"/>
        <v>-1928531.0000000002</v>
      </c>
      <c r="CA190" s="133">
        <f t="shared" si="2265"/>
        <v>-2191290.666666667</v>
      </c>
      <c r="CB190" s="133">
        <f t="shared" si="2265"/>
        <v>-2454050.3333333335</v>
      </c>
      <c r="CC190" s="133">
        <f t="shared" si="2265"/>
        <v>-2716810</v>
      </c>
      <c r="CD190" s="133">
        <f t="shared" si="2265"/>
        <v>-2979569.6666666665</v>
      </c>
      <c r="CE190" s="133">
        <f t="shared" si="2265"/>
        <v>-3242329.333333333</v>
      </c>
      <c r="CF190" s="133">
        <f t="shared" si="2265"/>
        <v>-3505088.9999999995</v>
      </c>
      <c r="CG190" s="133">
        <f t="shared" si="2265"/>
        <v>-3767848.666666666</v>
      </c>
      <c r="CH190" s="133">
        <f t="shared" si="2265"/>
        <v>-4030608.3333333326</v>
      </c>
      <c r="CI190" s="133">
        <f t="shared" si="2265"/>
        <v>-4293367.9999999991</v>
      </c>
      <c r="CJ190" s="133">
        <f t="shared" si="2265"/>
        <v>-4556127.666666666</v>
      </c>
      <c r="CK190" s="133">
        <f t="shared" si="2265"/>
        <v>-4818887.333333333</v>
      </c>
      <c r="CL190" s="133">
        <f t="shared" si="2265"/>
        <v>-5081647</v>
      </c>
      <c r="CM190" s="133">
        <f t="shared" si="2265"/>
        <v>-5344406.666666667</v>
      </c>
      <c r="CN190" s="133">
        <f t="shared" si="2265"/>
        <v>-5607166.333333334</v>
      </c>
      <c r="CO190" s="133">
        <f t="shared" si="2265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32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66">IFERROR(CZ190/CY190,0)</f>
        <v>0</v>
      </c>
      <c r="DB190" s="4">
        <f t="shared" ref="DB190:DB193" si="2267">CY190*FH190</f>
        <v>0</v>
      </c>
      <c r="DC190" s="4">
        <f t="shared" ref="DC190:DC193" si="2268">CZ190*FH190</f>
        <v>0</v>
      </c>
      <c r="DD190" s="136">
        <f t="shared" ref="DD190:DD193" si="2269">IFERROR(DC190/DB190,0)</f>
        <v>0</v>
      </c>
      <c r="DE190" s="31">
        <v>0</v>
      </c>
      <c r="DG190" s="31">
        <v>0</v>
      </c>
      <c r="DH190" s="48">
        <f t="shared" si="2233"/>
        <v>0</v>
      </c>
      <c r="DI190" s="62">
        <v>204244.193</v>
      </c>
      <c r="DJ190" s="62">
        <v>159958.32799999998</v>
      </c>
      <c r="DK190" s="48">
        <f t="shared" si="2234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35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36"/>
        <v>25</v>
      </c>
      <c r="DV190" s="62">
        <v>142869</v>
      </c>
      <c r="DW190" s="62">
        <v>114104.43022722298</v>
      </c>
      <c r="DX190" s="62">
        <f t="shared" si="2237"/>
        <v>0</v>
      </c>
      <c r="DY190" s="62">
        <f t="shared" si="2238"/>
        <v>0</v>
      </c>
      <c r="DZ190" s="48">
        <f t="shared" si="2239"/>
        <v>0</v>
      </c>
      <c r="EA190" s="62">
        <f t="shared" si="2240"/>
        <v>0</v>
      </c>
      <c r="EB190" s="62">
        <f t="shared" si="2241"/>
        <v>0</v>
      </c>
      <c r="EC190" s="48">
        <f t="shared" si="2242"/>
        <v>0</v>
      </c>
      <c r="ED190" s="62">
        <f t="shared" si="2243"/>
        <v>0</v>
      </c>
      <c r="EE190" s="62">
        <f t="shared" si="2244"/>
        <v>0</v>
      </c>
      <c r="EF190" s="48">
        <f t="shared" si="2245"/>
        <v>0</v>
      </c>
      <c r="EG190" s="62">
        <f t="shared" si="2246"/>
        <v>0</v>
      </c>
      <c r="EH190" s="62">
        <f t="shared" si="2247"/>
        <v>0</v>
      </c>
      <c r="EI190" s="48">
        <f t="shared" si="2248"/>
        <v>0</v>
      </c>
      <c r="EJ190" s="62">
        <f t="shared" si="2249"/>
        <v>0</v>
      </c>
      <c r="EK190" s="62">
        <f t="shared" si="2250"/>
        <v>0</v>
      </c>
      <c r="EL190" s="48">
        <f t="shared" si="2251"/>
        <v>0</v>
      </c>
      <c r="EM190" s="62">
        <f t="shared" si="2252"/>
        <v>0</v>
      </c>
      <c r="EN190" s="62">
        <f t="shared" si="2253"/>
        <v>0</v>
      </c>
      <c r="EO190" s="48">
        <f t="shared" si="2254"/>
        <v>0</v>
      </c>
      <c r="EP190" s="62">
        <f t="shared" si="2255"/>
        <v>81708.08</v>
      </c>
      <c r="EQ190" s="62">
        <f t="shared" si="2255"/>
        <v>281761.01999999996</v>
      </c>
      <c r="ER190" s="62">
        <f t="shared" si="2255"/>
        <v>272895.18</v>
      </c>
      <c r="ES190" s="62">
        <f t="shared" si="2256"/>
        <v>203563.36</v>
      </c>
      <c r="ET190" s="62">
        <f t="shared" si="2256"/>
        <v>288560.45999999996</v>
      </c>
      <c r="EU190" s="62">
        <f t="shared" si="2256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57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 t="shared" si="1821"/>
        <v>1</v>
      </c>
      <c r="FS190" s="120" t="b">
        <f t="shared" si="1822"/>
        <v>1</v>
      </c>
      <c r="FT190" s="120" t="b">
        <f t="shared" si="1823"/>
        <v>1</v>
      </c>
      <c r="FU190" s="120" t="b">
        <f t="shared" si="1824"/>
        <v>1</v>
      </c>
      <c r="FV190" s="120" t="b">
        <f t="shared" si="1825"/>
        <v>1</v>
      </c>
      <c r="FW190" s="104" t="b">
        <f t="shared" si="1881"/>
        <v>0</v>
      </c>
      <c r="FX190" s="120" t="b">
        <f t="shared" si="2258"/>
        <v>1</v>
      </c>
      <c r="FY190" s="104" t="s">
        <v>368</v>
      </c>
      <c r="FZ190" s="104" t="b">
        <f t="shared" si="2259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60"/>
        <v>1</v>
      </c>
      <c r="GI190" s="8" t="b">
        <f t="shared" si="2261"/>
        <v>0</v>
      </c>
      <c r="GJ190" s="31" t="s">
        <v>203</v>
      </c>
    </row>
    <row r="191" spans="1:192" ht="30" hidden="1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208"/>
        <v>в диапазоне</v>
      </c>
      <c r="Q191" s="95">
        <v>7295.4160588383675</v>
      </c>
      <c r="R191" s="95">
        <f t="shared" si="2209"/>
        <v>261467.71154876711</v>
      </c>
      <c r="S191" s="131">
        <v>14299.886871337891</v>
      </c>
      <c r="T191" s="131">
        <v>514080.93302459718</v>
      </c>
      <c r="U191" s="131">
        <f t="shared" si="2210"/>
        <v>28</v>
      </c>
      <c r="V191" s="113">
        <f t="shared" si="2211"/>
        <v>6136.8449802100658</v>
      </c>
      <c r="W191" s="113">
        <f t="shared" si="2212"/>
        <v>219944.52409072878</v>
      </c>
      <c r="X191" s="113">
        <f t="shared" si="2213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214"/>
        <v>0</v>
      </c>
      <c r="AF191" s="95">
        <f t="shared" si="2215"/>
        <v>0</v>
      </c>
      <c r="AG191" s="114">
        <v>0</v>
      </c>
      <c r="AH191" s="95">
        <f t="shared" si="2216"/>
        <v>6136.8449802100658</v>
      </c>
      <c r="AI191" s="114">
        <f t="shared" si="2217"/>
        <v>219944.52409072878</v>
      </c>
      <c r="AJ191" s="133">
        <f t="shared" si="2218"/>
        <v>2725</v>
      </c>
      <c r="AK191" s="133">
        <f t="shared" si="2219"/>
        <v>40316</v>
      </c>
      <c r="AL191" s="133">
        <f t="shared" si="2220"/>
        <v>210781</v>
      </c>
      <c r="AM191" s="133">
        <f t="shared" si="2221"/>
        <v>9867.9399999999987</v>
      </c>
      <c r="AN191" s="133">
        <f t="shared" si="2222"/>
        <v>260.84265174300009</v>
      </c>
      <c r="AO191" s="133" t="str">
        <f t="shared" si="2223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24"/>
        <v>0-05</v>
      </c>
      <c r="AW191" s="117">
        <f t="shared" si="2225"/>
        <v>0</v>
      </c>
      <c r="AX191" s="14"/>
      <c r="AY191" s="25">
        <f t="shared" si="2226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27"/>
        <v>0</v>
      </c>
      <c r="BG191" s="32">
        <v>0</v>
      </c>
      <c r="BH191" s="32">
        <f t="shared" si="2228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29"/>
        <v>1644.6566666666665</v>
      </c>
      <c r="BR191" s="95">
        <f t="shared" si="2230"/>
        <v>6098.3160588383671</v>
      </c>
      <c r="BS191" s="133">
        <f t="shared" si="2262"/>
        <v>4745.0260588383671</v>
      </c>
      <c r="BT191" s="133">
        <f t="shared" si="2262"/>
        <v>2877.7960588383671</v>
      </c>
      <c r="BU191" s="133">
        <f t="shared" si="2262"/>
        <v>913.61605883836728</v>
      </c>
      <c r="BV191" s="133">
        <f t="shared" si="2262"/>
        <v>-716.64394116163248</v>
      </c>
      <c r="BW191" s="133">
        <f t="shared" si="2262"/>
        <v>-2572.5239411616326</v>
      </c>
      <c r="BX191" s="133">
        <f t="shared" si="2265"/>
        <v>-4217.1806078282989</v>
      </c>
      <c r="BY191" s="133">
        <f t="shared" si="2265"/>
        <v>-5861.8372744949656</v>
      </c>
      <c r="BZ191" s="133">
        <f t="shared" si="2265"/>
        <v>-7506.4939411616324</v>
      </c>
      <c r="CA191" s="133">
        <f t="shared" si="2265"/>
        <v>-9151.1506078282982</v>
      </c>
      <c r="CB191" s="133">
        <f t="shared" si="2265"/>
        <v>-10795.807274494964</v>
      </c>
      <c r="CC191" s="133">
        <f t="shared" si="2265"/>
        <v>-12440.46394116163</v>
      </c>
      <c r="CD191" s="133">
        <f t="shared" si="2265"/>
        <v>-14085.120607828296</v>
      </c>
      <c r="CE191" s="133">
        <f t="shared" si="2265"/>
        <v>-15729.777274494962</v>
      </c>
      <c r="CF191" s="133">
        <f t="shared" si="2265"/>
        <v>-17374.433941161627</v>
      </c>
      <c r="CG191" s="133">
        <f t="shared" si="2265"/>
        <v>-19019.090607828293</v>
      </c>
      <c r="CH191" s="133">
        <f t="shared" si="2265"/>
        <v>-20663.747274494959</v>
      </c>
      <c r="CI191" s="133">
        <f t="shared" si="2265"/>
        <v>-22308.403941161625</v>
      </c>
      <c r="CJ191" s="133">
        <f t="shared" si="2265"/>
        <v>-23953.060607828291</v>
      </c>
      <c r="CK191" s="133">
        <f t="shared" si="2265"/>
        <v>-25597.717274494957</v>
      </c>
      <c r="CL191" s="133">
        <f t="shared" si="2265"/>
        <v>-27242.373941161622</v>
      </c>
      <c r="CM191" s="133">
        <f t="shared" si="2265"/>
        <v>-28887.030607828288</v>
      </c>
      <c r="CN191" s="133">
        <f t="shared" si="2265"/>
        <v>-30531.687274494954</v>
      </c>
      <c r="CO191" s="133">
        <f t="shared" si="2265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32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66"/>
        <v>0</v>
      </c>
      <c r="DB191" s="4">
        <f t="shared" si="2267"/>
        <v>0</v>
      </c>
      <c r="DC191" s="4">
        <f t="shared" si="2268"/>
        <v>0</v>
      </c>
      <c r="DD191" s="136">
        <f t="shared" si="2269"/>
        <v>0</v>
      </c>
      <c r="DE191" s="31">
        <v>0</v>
      </c>
      <c r="DF191" s="31">
        <v>30</v>
      </c>
      <c r="DG191" s="31">
        <v>2120.2719999999999</v>
      </c>
      <c r="DH191" s="48">
        <f t="shared" si="2233"/>
        <v>5</v>
      </c>
      <c r="DI191" s="62">
        <v>37546.896999999997</v>
      </c>
      <c r="DJ191" s="62">
        <v>1377256.0129999998</v>
      </c>
      <c r="DK191" s="48">
        <f t="shared" si="2234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35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36"/>
        <v>57</v>
      </c>
      <c r="DV191" s="62">
        <v>36693.101999999984</v>
      </c>
      <c r="DW191" s="62">
        <v>1332828.400457565</v>
      </c>
      <c r="DX191" s="62">
        <f t="shared" si="2237"/>
        <v>1197.0999999999999</v>
      </c>
      <c r="DY191" s="62">
        <f t="shared" si="2238"/>
        <v>42904.063999999998</v>
      </c>
      <c r="DZ191" s="48">
        <f t="shared" si="2239"/>
        <v>3</v>
      </c>
      <c r="EA191" s="62">
        <f t="shared" si="2240"/>
        <v>1353.29</v>
      </c>
      <c r="EB191" s="62">
        <f t="shared" si="2241"/>
        <v>48501.9136</v>
      </c>
      <c r="EC191" s="48">
        <f t="shared" si="2242"/>
        <v>3</v>
      </c>
      <c r="ED191" s="62">
        <f t="shared" si="2243"/>
        <v>1867.23</v>
      </c>
      <c r="EE191" s="62">
        <f t="shared" si="2244"/>
        <v>66921.523200000011</v>
      </c>
      <c r="EF191" s="48">
        <f t="shared" si="2245"/>
        <v>4</v>
      </c>
      <c r="EG191" s="62">
        <f t="shared" si="2246"/>
        <v>1964.1799999999998</v>
      </c>
      <c r="EH191" s="62">
        <f t="shared" si="2247"/>
        <v>70396.211200000005</v>
      </c>
      <c r="EI191" s="48">
        <f t="shared" si="2248"/>
        <v>4</v>
      </c>
      <c r="EJ191" s="62">
        <f t="shared" si="2249"/>
        <v>1630.2599999999998</v>
      </c>
      <c r="EK191" s="62">
        <f t="shared" si="2250"/>
        <v>58428.518399999994</v>
      </c>
      <c r="EL191" s="48">
        <f t="shared" si="2251"/>
        <v>4</v>
      </c>
      <c r="EM191" s="62">
        <f t="shared" si="2252"/>
        <v>1855.88</v>
      </c>
      <c r="EN191" s="62">
        <f t="shared" si="2253"/>
        <v>66514.739200000011</v>
      </c>
      <c r="EO191" s="48">
        <f t="shared" si="2254"/>
        <v>4</v>
      </c>
      <c r="EP191" s="62">
        <f t="shared" si="2255"/>
        <v>42904.063999999998</v>
      </c>
      <c r="EQ191" s="62">
        <f t="shared" si="2255"/>
        <v>48501.9136</v>
      </c>
      <c r="ER191" s="62">
        <f t="shared" si="2255"/>
        <v>66921.523200000011</v>
      </c>
      <c r="ES191" s="62">
        <f t="shared" si="2256"/>
        <v>70396.211200000005</v>
      </c>
      <c r="ET191" s="62">
        <f t="shared" si="2256"/>
        <v>58428.518399999994</v>
      </c>
      <c r="EU191" s="62">
        <f t="shared" si="2256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57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 t="shared" si="1821"/>
        <v>1</v>
      </c>
      <c r="FS191" s="103" t="b">
        <f t="shared" si="1822"/>
        <v>1</v>
      </c>
      <c r="FT191" s="103" t="b">
        <f t="shared" si="1823"/>
        <v>0</v>
      </c>
      <c r="FU191" s="103" t="b">
        <f t="shared" si="1824"/>
        <v>0</v>
      </c>
      <c r="FV191" s="103" t="b">
        <f t="shared" si="1825"/>
        <v>1</v>
      </c>
      <c r="FW191" s="104" t="b">
        <f t="shared" si="1881"/>
        <v>0</v>
      </c>
      <c r="FX191" s="120" t="b">
        <f t="shared" si="2258"/>
        <v>1</v>
      </c>
      <c r="FY191" s="104" t="s">
        <v>368</v>
      </c>
      <c r="FZ191" s="104" t="b">
        <f t="shared" si="2259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60"/>
        <v>1</v>
      </c>
      <c r="GI191" s="8" t="b">
        <f t="shared" si="2261"/>
        <v>0</v>
      </c>
      <c r="GJ191" s="31" t="s">
        <v>203</v>
      </c>
    </row>
    <row r="192" spans="1:192" hidden="1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208"/>
        <v>больше макс</v>
      </c>
      <c r="Q192" s="95">
        <v>352162</v>
      </c>
      <c r="R192" s="95">
        <f t="shared" si="2209"/>
        <v>383856.58</v>
      </c>
      <c r="S192" s="131">
        <v>482062</v>
      </c>
      <c r="T192" s="131">
        <v>520626.96</v>
      </c>
      <c r="U192" s="131">
        <f t="shared" si="2210"/>
        <v>5</v>
      </c>
      <c r="V192" s="113">
        <f t="shared" si="2211"/>
        <v>385522</v>
      </c>
      <c r="W192" s="113">
        <f t="shared" si="2212"/>
        <v>420218.98000000004</v>
      </c>
      <c r="X192" s="113">
        <f t="shared" si="2213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214"/>
        <v>0</v>
      </c>
      <c r="AF192" s="95">
        <f t="shared" si="2215"/>
        <v>0</v>
      </c>
      <c r="AG192" s="114">
        <v>0</v>
      </c>
      <c r="AH192" s="95">
        <f t="shared" si="2216"/>
        <v>385522</v>
      </c>
      <c r="AI192" s="114">
        <f t="shared" si="2217"/>
        <v>420218.98000000004</v>
      </c>
      <c r="AJ192" s="133">
        <f t="shared" si="2218"/>
        <v>403893</v>
      </c>
      <c r="AK192" s="133">
        <f t="shared" si="2219"/>
        <v>792087</v>
      </c>
      <c r="AL192" s="133">
        <f t="shared" si="2220"/>
        <v>1177170</v>
      </c>
      <c r="AM192" s="133">
        <f t="shared" si="2221"/>
        <v>1555955</v>
      </c>
      <c r="AN192" s="133">
        <f t="shared" si="2222"/>
        <v>55.767139795174025</v>
      </c>
      <c r="AO192" s="133" t="str">
        <f t="shared" si="2223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24"/>
        <v>0-02</v>
      </c>
      <c r="AW192" s="117">
        <f t="shared" si="2225"/>
        <v>0</v>
      </c>
      <c r="AX192" s="14"/>
      <c r="AY192" s="25">
        <f t="shared" si="2226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27"/>
        <v>0</v>
      </c>
      <c r="BG192" s="32">
        <v>0</v>
      </c>
      <c r="BH192" s="32">
        <f t="shared" si="2228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29"/>
        <v>259325.83333333334</v>
      </c>
      <c r="BR192" s="95">
        <f t="shared" si="2230"/>
        <v>171188</v>
      </c>
      <c r="BS192" s="133">
        <f t="shared" si="2262"/>
        <v>-81100</v>
      </c>
      <c r="BT192" s="133">
        <f t="shared" si="2262"/>
        <v>-356871</v>
      </c>
      <c r="BU192" s="133">
        <f t="shared" si="2262"/>
        <v>-637447</v>
      </c>
      <c r="BV192" s="133">
        <f t="shared" si="2262"/>
        <v>-920866</v>
      </c>
      <c r="BW192" s="133">
        <f t="shared" si="2262"/>
        <v>-1170433</v>
      </c>
      <c r="BX192" s="133">
        <f t="shared" si="2265"/>
        <v>-1429758.8333333333</v>
      </c>
      <c r="BY192" s="133">
        <f t="shared" si="2265"/>
        <v>-1689084.6666666665</v>
      </c>
      <c r="BZ192" s="133">
        <f t="shared" si="2265"/>
        <v>-1948410.4999999998</v>
      </c>
      <c r="CA192" s="133">
        <f t="shared" si="2265"/>
        <v>-2207736.333333333</v>
      </c>
      <c r="CB192" s="133">
        <f t="shared" si="2265"/>
        <v>-2467062.1666666665</v>
      </c>
      <c r="CC192" s="133">
        <f t="shared" si="2265"/>
        <v>-2726388</v>
      </c>
      <c r="CD192" s="133">
        <f t="shared" si="2265"/>
        <v>-2985713.8333333335</v>
      </c>
      <c r="CE192" s="133">
        <f t="shared" si="2265"/>
        <v>-3245039.666666667</v>
      </c>
      <c r="CF192" s="133">
        <f t="shared" si="2265"/>
        <v>-3504365.5000000005</v>
      </c>
      <c r="CG192" s="133">
        <f t="shared" si="2265"/>
        <v>-3763691.333333334</v>
      </c>
      <c r="CH192" s="133">
        <f t="shared" si="2265"/>
        <v>-4023017.1666666674</v>
      </c>
      <c r="CI192" s="133">
        <f t="shared" si="2265"/>
        <v>-4282343.0000000009</v>
      </c>
      <c r="CJ192" s="133">
        <f t="shared" si="2265"/>
        <v>-4541668.833333334</v>
      </c>
      <c r="CK192" s="133">
        <f t="shared" si="2265"/>
        <v>-4800994.666666667</v>
      </c>
      <c r="CL192" s="133">
        <f t="shared" si="2265"/>
        <v>-5060320.5</v>
      </c>
      <c r="CM192" s="133">
        <f t="shared" si="2265"/>
        <v>-5319646.333333333</v>
      </c>
      <c r="CN192" s="133">
        <f t="shared" si="2265"/>
        <v>-5578972.166666666</v>
      </c>
      <c r="CO192" s="133">
        <f t="shared" si="2265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32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66"/>
        <v>0</v>
      </c>
      <c r="DB192" s="4">
        <f t="shared" si="2267"/>
        <v>0</v>
      </c>
      <c r="DC192" s="4">
        <f t="shared" si="2268"/>
        <v>0</v>
      </c>
      <c r="DD192" s="136">
        <f t="shared" si="2269"/>
        <v>0</v>
      </c>
      <c r="DE192" s="31">
        <v>0</v>
      </c>
      <c r="DF192" s="31">
        <v>25</v>
      </c>
      <c r="DG192" s="31">
        <v>391508</v>
      </c>
      <c r="DH192" s="48">
        <f t="shared" si="2233"/>
        <v>4</v>
      </c>
      <c r="DI192" s="62">
        <v>173706.742</v>
      </c>
      <c r="DJ192" s="62">
        <v>179604.394</v>
      </c>
      <c r="DK192" s="48">
        <f t="shared" si="2234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35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36"/>
        <v>4</v>
      </c>
      <c r="DV192" s="62">
        <v>146537</v>
      </c>
      <c r="DW192" s="62">
        <v>154178.605721311</v>
      </c>
      <c r="DX192" s="62">
        <f t="shared" si="2237"/>
        <v>178611.66666666666</v>
      </c>
      <c r="DY192" s="62">
        <f t="shared" si="2238"/>
        <v>194686.71666666667</v>
      </c>
      <c r="DZ192" s="48">
        <f t="shared" si="2239"/>
        <v>2</v>
      </c>
      <c r="EA192" s="62">
        <f t="shared" si="2240"/>
        <v>210240</v>
      </c>
      <c r="EB192" s="62">
        <f t="shared" si="2241"/>
        <v>229161.60000000001</v>
      </c>
      <c r="EC192" s="48">
        <f t="shared" si="2242"/>
        <v>2</v>
      </c>
      <c r="ED192" s="62">
        <f t="shared" si="2243"/>
        <v>229809.16666666666</v>
      </c>
      <c r="EE192" s="62">
        <f t="shared" si="2244"/>
        <v>250491.99166666667</v>
      </c>
      <c r="EF192" s="48">
        <f t="shared" si="2245"/>
        <v>2</v>
      </c>
      <c r="EG192" s="62">
        <f t="shared" si="2246"/>
        <v>233813.33333333334</v>
      </c>
      <c r="EH192" s="62">
        <f t="shared" si="2247"/>
        <v>254856.53333333335</v>
      </c>
      <c r="EI192" s="48">
        <f t="shared" si="2248"/>
        <v>2</v>
      </c>
      <c r="EJ192" s="62">
        <f t="shared" si="2249"/>
        <v>236182.5</v>
      </c>
      <c r="EK192" s="62">
        <f t="shared" si="2250"/>
        <v>257438.92500000002</v>
      </c>
      <c r="EL192" s="48">
        <f t="shared" si="2251"/>
        <v>2</v>
      </c>
      <c r="EM192" s="62">
        <f t="shared" si="2252"/>
        <v>207972.5</v>
      </c>
      <c r="EN192" s="62">
        <f t="shared" si="2253"/>
        <v>226690.02500000002</v>
      </c>
      <c r="EO192" s="48">
        <f t="shared" si="2254"/>
        <v>2</v>
      </c>
      <c r="EP192" s="62">
        <f t="shared" si="2255"/>
        <v>233624.06000000003</v>
      </c>
      <c r="EQ192" s="62">
        <f t="shared" si="2255"/>
        <v>274993.92000000004</v>
      </c>
      <c r="ER192" s="62">
        <f t="shared" si="2255"/>
        <v>300590.39</v>
      </c>
      <c r="ES192" s="62">
        <f t="shared" si="2256"/>
        <v>305827.84000000003</v>
      </c>
      <c r="ET192" s="62">
        <f t="shared" si="2256"/>
        <v>308926.71000000002</v>
      </c>
      <c r="EU192" s="62">
        <f t="shared" si="2256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57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 t="shared" si="1821"/>
        <v>0</v>
      </c>
      <c r="FS192" s="103" t="b">
        <f t="shared" si="1822"/>
        <v>1</v>
      </c>
      <c r="FT192" s="103" t="b">
        <f t="shared" si="1823"/>
        <v>0</v>
      </c>
      <c r="FU192" s="103" t="b">
        <f t="shared" si="1824"/>
        <v>0</v>
      </c>
      <c r="FV192" s="103" t="b">
        <f t="shared" si="1825"/>
        <v>1</v>
      </c>
      <c r="FW192" s="104" t="b">
        <f t="shared" si="1881"/>
        <v>0</v>
      </c>
      <c r="FX192" s="120" t="b">
        <f t="shared" si="2258"/>
        <v>1</v>
      </c>
      <c r="FY192" s="104" t="s">
        <v>368</v>
      </c>
      <c r="FZ192" s="104" t="b">
        <f t="shared" si="2259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60"/>
        <v>1</v>
      </c>
      <c r="GI192" s="8" t="b">
        <f t="shared" si="2261"/>
        <v>0</v>
      </c>
      <c r="GJ192" s="31" t="s">
        <v>203</v>
      </c>
    </row>
    <row r="193" spans="1:192" hidden="1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70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71">Q193*FH193</f>
        <v>257876.88</v>
      </c>
      <c r="S193" s="114">
        <v>4114</v>
      </c>
      <c r="T193" s="114">
        <v>492528.08</v>
      </c>
      <c r="U193" s="131">
        <f t="shared" ref="U193:U199" si="2272">IFERROR(ROUNDUP(S193/$EX193,0)*$EY193,0)</f>
        <v>69</v>
      </c>
      <c r="V193" s="115">
        <f t="shared" ref="V193:V199" si="2273">SUM(Z193:AD193)</f>
        <v>2105</v>
      </c>
      <c r="W193" s="115">
        <f t="shared" ref="W193:W199" si="2274">V193*FH193</f>
        <v>252010.6</v>
      </c>
      <c r="X193" s="115">
        <f t="shared" ref="X193:X199" si="2275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76">AA193*FH193</f>
        <v>0</v>
      </c>
      <c r="AF193" s="95">
        <f t="shared" ref="AF193:AF199" si="2277">AB193*FH193</f>
        <v>0</v>
      </c>
      <c r="AG193" s="114">
        <v>0</v>
      </c>
      <c r="AH193" s="95">
        <f t="shared" ref="AH193:AH199" si="2278">V193-AG193</f>
        <v>2105</v>
      </c>
      <c r="AI193" s="114">
        <f t="shared" ref="AI193:AI199" si="2279">IF(AH193&gt;0,AH193*FH193,0)</f>
        <v>252010.6</v>
      </c>
      <c r="AJ193" s="114">
        <f t="shared" ref="AJ193:AJ199" si="2280">CU193</f>
        <v>779</v>
      </c>
      <c r="AK193" s="114">
        <f t="shared" si="2219"/>
        <v>2704</v>
      </c>
      <c r="AL193" s="114">
        <f t="shared" ref="AL193:AL199" si="2281">SUM(CP193:CU193)</f>
        <v>7447</v>
      </c>
      <c r="AM193" s="114">
        <f t="shared" ref="AM193:AM199" si="2282">SUM(BK193:BP193)</f>
        <v>15371</v>
      </c>
      <c r="AN193" s="133">
        <f t="shared" ref="AN193:AN199" si="2283">IFERROR(S193/BQ193*30,"нет оборота")</f>
        <v>48.176436145989193</v>
      </c>
      <c r="AO193" s="133" t="str">
        <f t="shared" ref="AO193:AO199" si="2284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85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86">IF(AT193="Да",W193,0)</f>
        <v>0</v>
      </c>
      <c r="AX193" s="138"/>
      <c r="AY193" s="115">
        <f t="shared" ref="AY193:AY199" si="2287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88">BE193*FH193</f>
        <v>0</v>
      </c>
      <c r="BG193" s="32">
        <v>0</v>
      </c>
      <c r="BH193" s="32">
        <f t="shared" ref="BH193:BH199" si="2289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90">IF(COUNTIF(BK193:BP193,"&gt;0")=0,0,SUM(BK193:BP193)/COUNTIF(BK193:BP193,"&gt;0"))</f>
        <v>2561.8333333333335</v>
      </c>
      <c r="BR193" s="95">
        <f t="shared" ref="BR193:BR199" si="2291">IF(OR(Q193=0,SUM(BK193:BP193)=0,V193&gt;Q193),V193-BK193,Q193-BK193)</f>
        <v>-166</v>
      </c>
      <c r="BS193" s="133">
        <f t="shared" si="2262"/>
        <v>-3838</v>
      </c>
      <c r="BT193" s="133">
        <f t="shared" si="2262"/>
        <v>-5281</v>
      </c>
      <c r="BU193" s="133">
        <f t="shared" si="2262"/>
        <v>-8032</v>
      </c>
      <c r="BV193" s="133">
        <f t="shared" si="2262"/>
        <v>-10859</v>
      </c>
      <c r="BW193" s="133">
        <f t="shared" si="2262"/>
        <v>-13217</v>
      </c>
      <c r="BX193" s="133">
        <f t="shared" si="2265"/>
        <v>-15778.833333333334</v>
      </c>
      <c r="BY193" s="133">
        <f t="shared" si="2265"/>
        <v>-18340.666666666668</v>
      </c>
      <c r="BZ193" s="133">
        <f t="shared" si="2265"/>
        <v>-20902.5</v>
      </c>
      <c r="CA193" s="133">
        <f t="shared" ref="CA193:CO193" si="2292">BZ193-$BQ193</f>
        <v>-23464.333333333332</v>
      </c>
      <c r="CB193" s="133">
        <f t="shared" si="2292"/>
        <v>-26026.166666666664</v>
      </c>
      <c r="CC193" s="133">
        <f t="shared" si="2292"/>
        <v>-28587.999999999996</v>
      </c>
      <c r="CD193" s="133">
        <f t="shared" si="2292"/>
        <v>-31149.833333333328</v>
      </c>
      <c r="CE193" s="133">
        <f t="shared" si="2292"/>
        <v>-33711.666666666664</v>
      </c>
      <c r="CF193" s="133">
        <f t="shared" si="2292"/>
        <v>-36273.5</v>
      </c>
      <c r="CG193" s="133">
        <f t="shared" si="2292"/>
        <v>-38835.333333333336</v>
      </c>
      <c r="CH193" s="133">
        <f t="shared" si="2292"/>
        <v>-41397.166666666672</v>
      </c>
      <c r="CI193" s="133">
        <f t="shared" si="2292"/>
        <v>-43959.000000000007</v>
      </c>
      <c r="CJ193" s="133">
        <f t="shared" si="2292"/>
        <v>-46520.833333333343</v>
      </c>
      <c r="CK193" s="133">
        <f t="shared" si="2292"/>
        <v>-49082.666666666679</v>
      </c>
      <c r="CL193" s="133">
        <f t="shared" si="2292"/>
        <v>-51644.500000000015</v>
      </c>
      <c r="CM193" s="133">
        <f t="shared" si="2292"/>
        <v>-54206.33333333335</v>
      </c>
      <c r="CN193" s="133">
        <f t="shared" si="2292"/>
        <v>-56768.166666666686</v>
      </c>
      <c r="CO193" s="133">
        <f t="shared" si="2292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93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66"/>
        <v>0</v>
      </c>
      <c r="DB193" s="4">
        <f t="shared" si="2267"/>
        <v>0</v>
      </c>
      <c r="DC193" s="4">
        <f t="shared" si="2268"/>
        <v>0</v>
      </c>
      <c r="DD193" s="136">
        <f t="shared" si="2269"/>
        <v>0</v>
      </c>
      <c r="DE193" s="31">
        <v>0</v>
      </c>
      <c r="DG193" s="31">
        <v>0</v>
      </c>
      <c r="DH193" s="48">
        <f t="shared" ref="DH193:DH199" si="2294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95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96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97">IFERROR(ROUNDUP(DS193/$EX193,0)*$EY193,0)</f>
        <v>75</v>
      </c>
      <c r="DV193" s="62">
        <v>744</v>
      </c>
      <c r="DW193" s="62">
        <v>89042.983664576794</v>
      </c>
      <c r="DX193" s="62">
        <f t="shared" ref="DX193:DX199" si="2298">$DF193*BK193/30</f>
        <v>0</v>
      </c>
      <c r="DY193" s="62">
        <f t="shared" ref="DY193:DY199" si="2299">DX193*$FH193</f>
        <v>0</v>
      </c>
      <c r="DZ193" s="48">
        <f t="shared" ref="DZ193:DZ199" si="2300">IFERROR(ROUNDUP(DX193/$EX193,0)*$EY193,0)</f>
        <v>0</v>
      </c>
      <c r="EA193" s="62">
        <f t="shared" ref="EA193:EA199" si="2301">$DF193*BL193/30</f>
        <v>0</v>
      </c>
      <c r="EB193" s="62">
        <f t="shared" ref="EB193:EB199" si="2302">EA193*$FH193</f>
        <v>0</v>
      </c>
      <c r="EC193" s="48">
        <f t="shared" ref="EC193:EC199" si="2303">IFERROR(ROUNDUP(EA193/$EX193,0)*$EY193,0)</f>
        <v>0</v>
      </c>
      <c r="ED193" s="62">
        <f t="shared" ref="ED193:ED199" si="2304">$DF193*BM193/30</f>
        <v>0</v>
      </c>
      <c r="EE193" s="62">
        <f t="shared" ref="EE193:EE199" si="2305">ED193*$FH193</f>
        <v>0</v>
      </c>
      <c r="EF193" s="48">
        <f t="shared" ref="EF193:EF199" si="2306">IFERROR(ROUNDUP(ED193/$EX193,0)*$EY193,0)</f>
        <v>0</v>
      </c>
      <c r="EG193" s="62">
        <f t="shared" ref="EG193:EG199" si="2307">$DF193*BN193/30</f>
        <v>0</v>
      </c>
      <c r="EH193" s="62">
        <f t="shared" ref="EH193:EH199" si="2308">EG193*$FH193</f>
        <v>0</v>
      </c>
      <c r="EI193" s="48">
        <f t="shared" ref="EI193:EI199" si="2309">IFERROR(ROUNDUP(EG193/$EX193,0)*$EY193,0)</f>
        <v>0</v>
      </c>
      <c r="EJ193" s="62">
        <f t="shared" ref="EJ193:EJ199" si="2310">$DF193*BO193/30</f>
        <v>0</v>
      </c>
      <c r="EK193" s="62">
        <f t="shared" ref="EK193:EK199" si="2311">EJ193*$FH193</f>
        <v>0</v>
      </c>
      <c r="EL193" s="48">
        <f t="shared" ref="EL193:EL199" si="2312">IFERROR(ROUNDUP(EJ193/$EX193,0)*$EY193,0)</f>
        <v>0</v>
      </c>
      <c r="EM193" s="62">
        <f t="shared" ref="EM193:EM199" si="2313">$DF193*BP193/30</f>
        <v>0</v>
      </c>
      <c r="EN193" s="62">
        <f t="shared" ref="EN193:EN199" si="2314">EM193*$FH193</f>
        <v>0</v>
      </c>
      <c r="EO193" s="48">
        <f t="shared" ref="EO193:EO199" si="2315">IFERROR(ROUNDUP(EM193/$EX193,0)*$EY193,0)</f>
        <v>0</v>
      </c>
      <c r="EP193" s="62">
        <f t="shared" ref="EP193:EU197" si="2316">BK193*$FH193</f>
        <v>277750.40000000002</v>
      </c>
      <c r="EQ193" s="62">
        <f t="shared" si="2316"/>
        <v>439611.83999999997</v>
      </c>
      <c r="ER193" s="62">
        <f t="shared" si="2316"/>
        <v>172755.96</v>
      </c>
      <c r="ES193" s="62">
        <f t="shared" si="2316"/>
        <v>329349.71999999997</v>
      </c>
      <c r="ET193" s="62">
        <f t="shared" si="2316"/>
        <v>338448.44</v>
      </c>
      <c r="EU193" s="62">
        <f t="shared" si="2316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317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 t="shared" si="1821"/>
        <v>1</v>
      </c>
      <c r="FS193" s="120" t="b">
        <f t="shared" si="1822"/>
        <v>1</v>
      </c>
      <c r="FT193" s="120" t="b">
        <f t="shared" si="1823"/>
        <v>1</v>
      </c>
      <c r="FU193" s="120" t="b">
        <f t="shared" si="1824"/>
        <v>1</v>
      </c>
      <c r="FV193" s="120" t="b">
        <f t="shared" si="1825"/>
        <v>1</v>
      </c>
      <c r="FW193" s="104" t="b">
        <f t="shared" si="1881"/>
        <v>0</v>
      </c>
      <c r="FX193" s="120" t="b">
        <f t="shared" ref="FX193:FX199" si="2318">EXACT(FQ193,BI193)</f>
        <v>1</v>
      </c>
      <c r="FY193" s="104" t="s">
        <v>368</v>
      </c>
      <c r="FZ193" s="104" t="b">
        <f t="shared" ref="FZ193:FZ199" si="2319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20">EXACT(GD193,C193)</f>
        <v>1</v>
      </c>
      <c r="GI193" s="8" t="b">
        <f t="shared" ref="GI193:GI199" si="2321">EXACT(GG193,G193)</f>
        <v>0</v>
      </c>
      <c r="GJ193" s="31" t="s">
        <v>203</v>
      </c>
    </row>
    <row r="194" spans="1:192" hidden="1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70"/>
        <v>в диапазоне</v>
      </c>
      <c r="Q194" s="95">
        <v>3166</v>
      </c>
      <c r="R194" s="95">
        <f t="shared" si="2271"/>
        <v>556772.76</v>
      </c>
      <c r="S194" s="131">
        <v>2575</v>
      </c>
      <c r="T194" s="131">
        <v>452839.50000000006</v>
      </c>
      <c r="U194" s="131">
        <f t="shared" si="2272"/>
        <v>9</v>
      </c>
      <c r="V194" s="113">
        <f t="shared" si="2273"/>
        <v>1297.1960144042969</v>
      </c>
      <c r="W194" s="113">
        <f t="shared" si="2274"/>
        <v>228124.89109313965</v>
      </c>
      <c r="X194" s="113">
        <f t="shared" si="2275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76"/>
        <v>0</v>
      </c>
      <c r="AF194" s="95">
        <f t="shared" si="2277"/>
        <v>0</v>
      </c>
      <c r="AG194" s="114">
        <v>0</v>
      </c>
      <c r="AH194" s="95">
        <f t="shared" si="2278"/>
        <v>1297.1960144042969</v>
      </c>
      <c r="AI194" s="114">
        <f t="shared" si="2279"/>
        <v>228124.89109313965</v>
      </c>
      <c r="AJ194" s="133">
        <f t="shared" si="2280"/>
        <v>1295</v>
      </c>
      <c r="AK194" s="133">
        <f t="shared" ref="AK194:AK199" si="2322">SUM(CS194:CU194)</f>
        <v>5146</v>
      </c>
      <c r="AL194" s="133">
        <f t="shared" si="2281"/>
        <v>8850</v>
      </c>
      <c r="AM194" s="133">
        <f t="shared" si="2282"/>
        <v>15916.740000000002</v>
      </c>
      <c r="AN194" s="133">
        <f t="shared" si="2283"/>
        <v>29.120284681410887</v>
      </c>
      <c r="AO194" s="133" t="str">
        <f t="shared" si="2284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85"/>
        <v>0-02</v>
      </c>
      <c r="AW194" s="117">
        <f t="shared" si="2286"/>
        <v>0</v>
      </c>
      <c r="AX194" s="14"/>
      <c r="AY194" s="25">
        <f t="shared" si="2287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88"/>
        <v>0</v>
      </c>
      <c r="BG194" s="32">
        <v>0</v>
      </c>
      <c r="BH194" s="32">
        <f t="shared" si="2289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90"/>
        <v>2652.7900000000004</v>
      </c>
      <c r="BR194" s="95">
        <f t="shared" si="2291"/>
        <v>1202.07</v>
      </c>
      <c r="BS194" s="133">
        <f t="shared" ref="BS194:BW198" si="2323">BR194-BL194</f>
        <v>-1870.3799999999999</v>
      </c>
      <c r="BT194" s="133">
        <f t="shared" si="2323"/>
        <v>-4473.4399999999996</v>
      </c>
      <c r="BU194" s="133">
        <f t="shared" si="2323"/>
        <v>-6661.2</v>
      </c>
      <c r="BV194" s="133">
        <f t="shared" si="2323"/>
        <v>-9876.369999999999</v>
      </c>
      <c r="BW194" s="133">
        <f t="shared" si="2323"/>
        <v>-12750.739999999998</v>
      </c>
      <c r="BX194" s="133">
        <f t="shared" ref="BX194:CO195" si="2324">BW194-$BQ194</f>
        <v>-15403.529999999999</v>
      </c>
      <c r="BY194" s="133">
        <f t="shared" si="2324"/>
        <v>-18056.32</v>
      </c>
      <c r="BZ194" s="133">
        <f t="shared" si="2324"/>
        <v>-20709.11</v>
      </c>
      <c r="CA194" s="133">
        <f t="shared" si="2324"/>
        <v>-23361.9</v>
      </c>
      <c r="CB194" s="133">
        <f t="shared" si="2324"/>
        <v>-26014.690000000002</v>
      </c>
      <c r="CC194" s="133">
        <f t="shared" si="2324"/>
        <v>-28667.480000000003</v>
      </c>
      <c r="CD194" s="133">
        <f t="shared" si="2324"/>
        <v>-31320.270000000004</v>
      </c>
      <c r="CE194" s="133">
        <f t="shared" si="2324"/>
        <v>-33973.060000000005</v>
      </c>
      <c r="CF194" s="133">
        <f t="shared" si="2324"/>
        <v>-36625.850000000006</v>
      </c>
      <c r="CG194" s="133">
        <f t="shared" si="2324"/>
        <v>-39278.640000000007</v>
      </c>
      <c r="CH194" s="133">
        <f t="shared" si="2324"/>
        <v>-41931.430000000008</v>
      </c>
      <c r="CI194" s="133">
        <f t="shared" si="2324"/>
        <v>-44584.220000000008</v>
      </c>
      <c r="CJ194" s="133">
        <f t="shared" si="2324"/>
        <v>-47237.010000000009</v>
      </c>
      <c r="CK194" s="133">
        <f t="shared" si="2324"/>
        <v>-49889.80000000001</v>
      </c>
      <c r="CL194" s="133">
        <f t="shared" si="2324"/>
        <v>-52542.590000000011</v>
      </c>
      <c r="CM194" s="133">
        <f t="shared" si="2324"/>
        <v>-55195.380000000012</v>
      </c>
      <c r="CN194" s="133">
        <f t="shared" si="2324"/>
        <v>-57848.170000000013</v>
      </c>
      <c r="CO194" s="133">
        <f t="shared" si="2324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93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25">IFERROR(CZ194/CY194,0)</f>
        <v>0</v>
      </c>
      <c r="DB194" s="4">
        <f t="shared" ref="DB194:DB198" si="2326">CY194*FH194</f>
        <v>0</v>
      </c>
      <c r="DC194" s="4">
        <f t="shared" ref="DC194:DC198" si="2327">CZ194*FH194</f>
        <v>0</v>
      </c>
      <c r="DD194" s="136">
        <f t="shared" ref="DD194:DD198" si="2328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94"/>
        <v>4</v>
      </c>
      <c r="DI194" s="62">
        <v>2763.6779999999999</v>
      </c>
      <c r="DJ194" s="62">
        <v>486014.93200000003</v>
      </c>
      <c r="DK194" s="48">
        <f t="shared" si="2295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96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97"/>
        <v>14</v>
      </c>
      <c r="DV194" s="62">
        <v>2149</v>
      </c>
      <c r="DW194" s="62">
        <v>377921.57196031779</v>
      </c>
      <c r="DX194" s="62">
        <f t="shared" si="2298"/>
        <v>1963.93</v>
      </c>
      <c r="DY194" s="62">
        <f t="shared" si="2299"/>
        <v>345376.72980000003</v>
      </c>
      <c r="DZ194" s="48">
        <f t="shared" si="2300"/>
        <v>7</v>
      </c>
      <c r="EA194" s="62">
        <f t="shared" si="2301"/>
        <v>3072.45</v>
      </c>
      <c r="EB194" s="62">
        <f t="shared" si="2302"/>
        <v>540321.05700000003</v>
      </c>
      <c r="EC194" s="48">
        <f t="shared" si="2303"/>
        <v>11</v>
      </c>
      <c r="ED194" s="62">
        <f t="shared" si="2304"/>
        <v>2603.06</v>
      </c>
      <c r="EE194" s="62">
        <f t="shared" si="2305"/>
        <v>457774.13160000002</v>
      </c>
      <c r="EF194" s="48">
        <f t="shared" si="2306"/>
        <v>9</v>
      </c>
      <c r="EG194" s="62">
        <f t="shared" si="2307"/>
        <v>2187.7600000000002</v>
      </c>
      <c r="EH194" s="62">
        <f t="shared" si="2308"/>
        <v>384739.47360000008</v>
      </c>
      <c r="EI194" s="48">
        <f t="shared" si="2309"/>
        <v>8</v>
      </c>
      <c r="EJ194" s="62">
        <f t="shared" si="2310"/>
        <v>3215.17</v>
      </c>
      <c r="EK194" s="62">
        <f t="shared" si="2311"/>
        <v>565419.7962000001</v>
      </c>
      <c r="EL194" s="48">
        <f t="shared" si="2312"/>
        <v>11</v>
      </c>
      <c r="EM194" s="62">
        <f t="shared" si="2313"/>
        <v>2874.37</v>
      </c>
      <c r="EN194" s="62">
        <f t="shared" si="2314"/>
        <v>505486.70819999999</v>
      </c>
      <c r="EO194" s="48">
        <f t="shared" si="2315"/>
        <v>10</v>
      </c>
      <c r="EP194" s="62">
        <f t="shared" si="2316"/>
        <v>345376.72980000003</v>
      </c>
      <c r="EQ194" s="62">
        <f t="shared" si="2316"/>
        <v>540321.05700000003</v>
      </c>
      <c r="ER194" s="62">
        <f t="shared" si="2316"/>
        <v>457774.13160000002</v>
      </c>
      <c r="ES194" s="62">
        <f t="shared" si="2316"/>
        <v>384739.47360000008</v>
      </c>
      <c r="ET194" s="62">
        <f t="shared" si="2316"/>
        <v>565419.7962000001</v>
      </c>
      <c r="EU194" s="62">
        <f t="shared" si="2316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317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 t="shared" si="1821"/>
        <v>0</v>
      </c>
      <c r="FS194" s="103" t="b">
        <f t="shared" si="1822"/>
        <v>1</v>
      </c>
      <c r="FT194" s="103" t="b">
        <f t="shared" si="1823"/>
        <v>0</v>
      </c>
      <c r="FU194" s="103" t="b">
        <f t="shared" si="1824"/>
        <v>0</v>
      </c>
      <c r="FV194" s="103" t="b">
        <f t="shared" si="1825"/>
        <v>1</v>
      </c>
      <c r="FW194" s="104" t="b">
        <f t="shared" si="1881"/>
        <v>0</v>
      </c>
      <c r="FX194" s="120" t="b">
        <f t="shared" si="2318"/>
        <v>1</v>
      </c>
      <c r="FY194" s="104" t="s">
        <v>368</v>
      </c>
      <c r="FZ194" s="104" t="b">
        <f t="shared" si="2319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20"/>
        <v>1</v>
      </c>
      <c r="GI194" s="8" t="b">
        <f t="shared" si="2321"/>
        <v>0</v>
      </c>
      <c r="GJ194" s="31" t="s">
        <v>203</v>
      </c>
    </row>
    <row r="195" spans="1:192" hidden="1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70"/>
        <v>нет минмакс</v>
      </c>
      <c r="Q195" s="95">
        <v>15400</v>
      </c>
      <c r="R195" s="95">
        <f t="shared" si="2271"/>
        <v>14014</v>
      </c>
      <c r="S195" s="114">
        <v>537718</v>
      </c>
      <c r="T195" s="114">
        <v>494700.56</v>
      </c>
      <c r="U195" s="131">
        <f t="shared" si="2272"/>
        <v>20</v>
      </c>
      <c r="V195" s="115">
        <f t="shared" si="2273"/>
        <v>77000</v>
      </c>
      <c r="W195" s="115">
        <f t="shared" si="2274"/>
        <v>70070</v>
      </c>
      <c r="X195" s="115">
        <f t="shared" si="2275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76"/>
        <v>0</v>
      </c>
      <c r="AF195" s="95">
        <f t="shared" si="2277"/>
        <v>0</v>
      </c>
      <c r="AG195" s="114">
        <v>0</v>
      </c>
      <c r="AH195" s="95">
        <f t="shared" si="2278"/>
        <v>77000</v>
      </c>
      <c r="AI195" s="114">
        <f t="shared" si="2279"/>
        <v>70070</v>
      </c>
      <c r="AJ195" s="114">
        <f t="shared" si="2280"/>
        <v>13200</v>
      </c>
      <c r="AK195" s="114">
        <f t="shared" si="2322"/>
        <v>660183</v>
      </c>
      <c r="AL195" s="114">
        <f t="shared" si="2281"/>
        <v>1257000</v>
      </c>
      <c r="AM195" s="114">
        <f t="shared" si="2282"/>
        <v>1550287</v>
      </c>
      <c r="AN195" s="133">
        <f t="shared" si="2283"/>
        <v>62.433110772392467</v>
      </c>
      <c r="AO195" s="133" t="str">
        <f t="shared" si="2284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85"/>
        <v>0-01</v>
      </c>
      <c r="AW195" s="126">
        <f t="shared" si="2286"/>
        <v>0</v>
      </c>
      <c r="AX195" s="138"/>
      <c r="AY195" s="115">
        <f t="shared" si="2287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88"/>
        <v>0</v>
      </c>
      <c r="BG195" s="32">
        <v>0</v>
      </c>
      <c r="BH195" s="32">
        <f t="shared" si="2289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90"/>
        <v>258381.16666666666</v>
      </c>
      <c r="BR195" s="95">
        <f t="shared" si="2291"/>
        <v>-221246</v>
      </c>
      <c r="BS195" s="133">
        <f t="shared" si="2323"/>
        <v>-490289</v>
      </c>
      <c r="BT195" s="133">
        <f t="shared" si="2323"/>
        <v>-740458</v>
      </c>
      <c r="BU195" s="133">
        <f t="shared" si="2323"/>
        <v>-1011819</v>
      </c>
      <c r="BV195" s="133">
        <f t="shared" si="2323"/>
        <v>-1247523</v>
      </c>
      <c r="BW195" s="133">
        <f t="shared" si="2323"/>
        <v>-1473287</v>
      </c>
      <c r="BX195" s="133">
        <f t="shared" si="2324"/>
        <v>-1731668.1666666667</v>
      </c>
      <c r="BY195" s="133">
        <f t="shared" si="2324"/>
        <v>-1990049.3333333335</v>
      </c>
      <c r="BZ195" s="133">
        <f t="shared" si="2324"/>
        <v>-2248430.5</v>
      </c>
      <c r="CA195" s="133">
        <f t="shared" ref="CA195:CO195" si="2329">BZ195-$BQ195</f>
        <v>-2506811.6666666665</v>
      </c>
      <c r="CB195" s="133">
        <f t="shared" si="2329"/>
        <v>-2765192.833333333</v>
      </c>
      <c r="CC195" s="133">
        <f t="shared" si="2329"/>
        <v>-3023573.9999999995</v>
      </c>
      <c r="CD195" s="133">
        <f t="shared" si="2329"/>
        <v>-3281955.166666666</v>
      </c>
      <c r="CE195" s="133">
        <f t="shared" si="2329"/>
        <v>-3540336.3333333326</v>
      </c>
      <c r="CF195" s="133">
        <f t="shared" si="2329"/>
        <v>-3798717.4999999991</v>
      </c>
      <c r="CG195" s="133">
        <f t="shared" si="2329"/>
        <v>-4057098.6666666656</v>
      </c>
      <c r="CH195" s="133">
        <f t="shared" si="2329"/>
        <v>-4315479.8333333321</v>
      </c>
      <c r="CI195" s="133">
        <f t="shared" si="2329"/>
        <v>-4573860.9999999991</v>
      </c>
      <c r="CJ195" s="133">
        <f t="shared" si="2329"/>
        <v>-4832242.166666666</v>
      </c>
      <c r="CK195" s="133">
        <f t="shared" si="2329"/>
        <v>-5090623.333333333</v>
      </c>
      <c r="CL195" s="133">
        <f t="shared" si="2329"/>
        <v>-5349004.5</v>
      </c>
      <c r="CM195" s="133">
        <f t="shared" si="2329"/>
        <v>-5607385.666666667</v>
      </c>
      <c r="CN195" s="133">
        <f t="shared" si="2329"/>
        <v>-5865766.833333334</v>
      </c>
      <c r="CO195" s="133">
        <f t="shared" si="2329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93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25"/>
        <v>0</v>
      </c>
      <c r="DB195" s="4">
        <f t="shared" si="2326"/>
        <v>0</v>
      </c>
      <c r="DC195" s="4">
        <f t="shared" si="2327"/>
        <v>0</v>
      </c>
      <c r="DD195" s="136">
        <f t="shared" si="2328"/>
        <v>0</v>
      </c>
      <c r="DE195" s="31">
        <v>0</v>
      </c>
      <c r="DG195" s="31">
        <v>0</v>
      </c>
      <c r="DH195" s="48">
        <f t="shared" si="2294"/>
        <v>0</v>
      </c>
      <c r="DI195" s="62">
        <v>212168.61300000001</v>
      </c>
      <c r="DJ195" s="62">
        <v>171793.75599999999</v>
      </c>
      <c r="DK195" s="48">
        <f t="shared" si="2295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96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97"/>
        <v>21</v>
      </c>
      <c r="DV195" s="62">
        <v>122782</v>
      </c>
      <c r="DW195" s="62">
        <v>102500.97585742298</v>
      </c>
      <c r="DX195" s="62">
        <f t="shared" si="2298"/>
        <v>0</v>
      </c>
      <c r="DY195" s="62">
        <f t="shared" si="2299"/>
        <v>0</v>
      </c>
      <c r="DZ195" s="48">
        <f t="shared" si="2300"/>
        <v>0</v>
      </c>
      <c r="EA195" s="62">
        <f t="shared" si="2301"/>
        <v>0</v>
      </c>
      <c r="EB195" s="62">
        <f t="shared" si="2302"/>
        <v>0</v>
      </c>
      <c r="EC195" s="48">
        <f t="shared" si="2303"/>
        <v>0</v>
      </c>
      <c r="ED195" s="62">
        <f t="shared" si="2304"/>
        <v>0</v>
      </c>
      <c r="EE195" s="62">
        <f t="shared" si="2305"/>
        <v>0</v>
      </c>
      <c r="EF195" s="48">
        <f t="shared" si="2306"/>
        <v>0</v>
      </c>
      <c r="EG195" s="62">
        <f t="shared" si="2307"/>
        <v>0</v>
      </c>
      <c r="EH195" s="62">
        <f t="shared" si="2308"/>
        <v>0</v>
      </c>
      <c r="EI195" s="48">
        <f t="shared" si="2309"/>
        <v>0</v>
      </c>
      <c r="EJ195" s="62">
        <f t="shared" si="2310"/>
        <v>0</v>
      </c>
      <c r="EK195" s="62">
        <f t="shared" si="2311"/>
        <v>0</v>
      </c>
      <c r="EL195" s="48">
        <f t="shared" si="2312"/>
        <v>0</v>
      </c>
      <c r="EM195" s="62">
        <f t="shared" si="2313"/>
        <v>0</v>
      </c>
      <c r="EN195" s="62">
        <f t="shared" si="2314"/>
        <v>0</v>
      </c>
      <c r="EO195" s="48">
        <f t="shared" si="2315"/>
        <v>0</v>
      </c>
      <c r="EP195" s="62">
        <f t="shared" si="2316"/>
        <v>271403.86</v>
      </c>
      <c r="EQ195" s="62">
        <f t="shared" si="2316"/>
        <v>244829.13</v>
      </c>
      <c r="ER195" s="62">
        <f t="shared" si="2316"/>
        <v>227653.79</v>
      </c>
      <c r="ES195" s="62">
        <f t="shared" si="2316"/>
        <v>246938.51</v>
      </c>
      <c r="ET195" s="62">
        <f t="shared" si="2316"/>
        <v>214490.64</v>
      </c>
      <c r="EU195" s="62">
        <f t="shared" si="2316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317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 t="shared" si="1821"/>
        <v>1</v>
      </c>
      <c r="FS195" s="120" t="b">
        <f t="shared" si="1822"/>
        <v>1</v>
      </c>
      <c r="FT195" s="120" t="b">
        <f t="shared" si="1823"/>
        <v>1</v>
      </c>
      <c r="FU195" s="120" t="b">
        <f t="shared" si="1824"/>
        <v>1</v>
      </c>
      <c r="FV195" s="120" t="b">
        <f t="shared" si="1825"/>
        <v>1</v>
      </c>
      <c r="FW195" s="104" t="b">
        <f t="shared" si="1881"/>
        <v>0</v>
      </c>
      <c r="FX195" s="120" t="b">
        <f t="shared" si="2318"/>
        <v>1</v>
      </c>
      <c r="FY195" s="104" t="s">
        <v>368</v>
      </c>
      <c r="FZ195" s="104" t="b">
        <f t="shared" si="2319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20"/>
        <v>1</v>
      </c>
      <c r="GI195" s="8" t="b">
        <f t="shared" si="2321"/>
        <v>0</v>
      </c>
      <c r="GJ195" s="31" t="s">
        <v>203</v>
      </c>
    </row>
    <row r="196" spans="1:192" ht="30" hidden="1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70"/>
        <v>в диапазоне</v>
      </c>
      <c r="Q196" s="95">
        <v>296</v>
      </c>
      <c r="R196" s="95">
        <f t="shared" si="2271"/>
        <v>449920</v>
      </c>
      <c r="S196" s="131">
        <v>297</v>
      </c>
      <c r="T196" s="131">
        <v>451440</v>
      </c>
      <c r="U196" s="131">
        <f t="shared" si="2272"/>
        <v>25</v>
      </c>
      <c r="V196" s="113">
        <f t="shared" si="2273"/>
        <v>242</v>
      </c>
      <c r="W196" s="113">
        <f t="shared" si="2274"/>
        <v>367840</v>
      </c>
      <c r="X196" s="113">
        <f t="shared" si="2275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76"/>
        <v>0</v>
      </c>
      <c r="AF196" s="95">
        <f t="shared" si="2277"/>
        <v>0</v>
      </c>
      <c r="AG196" s="114">
        <v>0</v>
      </c>
      <c r="AH196" s="95">
        <f t="shared" si="2278"/>
        <v>242</v>
      </c>
      <c r="AI196" s="114">
        <f t="shared" si="2279"/>
        <v>367840</v>
      </c>
      <c r="AJ196" s="133">
        <f t="shared" si="2280"/>
        <v>1</v>
      </c>
      <c r="AK196" s="133">
        <f t="shared" si="2322"/>
        <v>1</v>
      </c>
      <c r="AL196" s="133">
        <f t="shared" si="2281"/>
        <v>181</v>
      </c>
      <c r="AM196" s="133">
        <f t="shared" si="2282"/>
        <v>0</v>
      </c>
      <c r="AN196" s="133" t="str">
        <f t="shared" si="2283"/>
        <v>нет оборота</v>
      </c>
      <c r="AO196" s="133" t="str">
        <f t="shared" si="2284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85"/>
        <v>Нет планов</v>
      </c>
      <c r="AW196" s="117">
        <f t="shared" si="2286"/>
        <v>367840</v>
      </c>
      <c r="AX196" s="14">
        <f>MONTH(BC196)-6</f>
        <v>4</v>
      </c>
      <c r="AY196" s="25">
        <f t="shared" si="2287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88"/>
        <v>0</v>
      </c>
      <c r="BG196" s="32">
        <v>0</v>
      </c>
      <c r="BH196" s="32">
        <f t="shared" si="2289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90"/>
        <v>0</v>
      </c>
      <c r="BR196" s="95">
        <f t="shared" si="2291"/>
        <v>242</v>
      </c>
      <c r="BS196" s="133">
        <f t="shared" si="2323"/>
        <v>242</v>
      </c>
      <c r="BT196" s="133">
        <f t="shared" si="2323"/>
        <v>242</v>
      </c>
      <c r="BU196" s="133">
        <f t="shared" si="2323"/>
        <v>242</v>
      </c>
      <c r="BV196" s="133">
        <f t="shared" si="2323"/>
        <v>242</v>
      </c>
      <c r="BW196" s="133">
        <f t="shared" si="2323"/>
        <v>242</v>
      </c>
      <c r="BX196" s="133">
        <f t="shared" ref="BX196:CO197" si="2330">BW196-$BQ196</f>
        <v>242</v>
      </c>
      <c r="BY196" s="133">
        <f t="shared" si="2330"/>
        <v>242</v>
      </c>
      <c r="BZ196" s="133">
        <f t="shared" si="2330"/>
        <v>242</v>
      </c>
      <c r="CA196" s="133">
        <f t="shared" si="2330"/>
        <v>242</v>
      </c>
      <c r="CB196" s="133">
        <f t="shared" si="2330"/>
        <v>242</v>
      </c>
      <c r="CC196" s="133">
        <f t="shared" si="2330"/>
        <v>242</v>
      </c>
      <c r="CD196" s="133">
        <f t="shared" si="2330"/>
        <v>242</v>
      </c>
      <c r="CE196" s="133">
        <f t="shared" si="2330"/>
        <v>242</v>
      </c>
      <c r="CF196" s="133">
        <f t="shared" si="2330"/>
        <v>242</v>
      </c>
      <c r="CG196" s="133">
        <f t="shared" si="2330"/>
        <v>242</v>
      </c>
      <c r="CH196" s="133">
        <f t="shared" si="2330"/>
        <v>242</v>
      </c>
      <c r="CI196" s="133">
        <f t="shared" si="2330"/>
        <v>242</v>
      </c>
      <c r="CJ196" s="133">
        <f t="shared" si="2330"/>
        <v>242</v>
      </c>
      <c r="CK196" s="133">
        <f t="shared" si="2330"/>
        <v>242</v>
      </c>
      <c r="CL196" s="133">
        <f t="shared" si="2330"/>
        <v>242</v>
      </c>
      <c r="CM196" s="133">
        <f t="shared" si="2330"/>
        <v>242</v>
      </c>
      <c r="CN196" s="133">
        <f t="shared" si="2330"/>
        <v>242</v>
      </c>
      <c r="CO196" s="133">
        <f t="shared" si="2330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93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25"/>
        <v>0</v>
      </c>
      <c r="DB196" s="4">
        <f t="shared" si="2326"/>
        <v>0</v>
      </c>
      <c r="DC196" s="4">
        <f t="shared" si="2327"/>
        <v>0</v>
      </c>
      <c r="DD196" s="136">
        <f t="shared" si="2328"/>
        <v>0</v>
      </c>
      <c r="DE196" s="31">
        <v>0</v>
      </c>
      <c r="DF196" s="31">
        <v>10</v>
      </c>
      <c r="DG196" s="31">
        <v>288</v>
      </c>
      <c r="DH196" s="48">
        <f t="shared" si="2294"/>
        <v>24</v>
      </c>
      <c r="DI196" s="62">
        <v>421.83800000000002</v>
      </c>
      <c r="DJ196" s="62">
        <v>641194.83800000011</v>
      </c>
      <c r="DK196" s="48">
        <f t="shared" si="2295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96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97"/>
        <v>25</v>
      </c>
      <c r="DV196" s="62">
        <v>0</v>
      </c>
      <c r="DW196" s="62">
        <v>0</v>
      </c>
      <c r="DX196" s="62">
        <f t="shared" si="2298"/>
        <v>0</v>
      </c>
      <c r="DY196" s="62">
        <f t="shared" si="2299"/>
        <v>0</v>
      </c>
      <c r="DZ196" s="48">
        <f t="shared" si="2300"/>
        <v>0</v>
      </c>
      <c r="EA196" s="62">
        <f t="shared" si="2301"/>
        <v>0</v>
      </c>
      <c r="EB196" s="62">
        <f t="shared" si="2302"/>
        <v>0</v>
      </c>
      <c r="EC196" s="48">
        <f t="shared" si="2303"/>
        <v>0</v>
      </c>
      <c r="ED196" s="62">
        <f t="shared" si="2304"/>
        <v>0</v>
      </c>
      <c r="EE196" s="62">
        <f t="shared" si="2305"/>
        <v>0</v>
      </c>
      <c r="EF196" s="48">
        <f t="shared" si="2306"/>
        <v>0</v>
      </c>
      <c r="EG196" s="62">
        <f t="shared" si="2307"/>
        <v>0</v>
      </c>
      <c r="EH196" s="62">
        <f t="shared" si="2308"/>
        <v>0</v>
      </c>
      <c r="EI196" s="48">
        <f t="shared" si="2309"/>
        <v>0</v>
      </c>
      <c r="EJ196" s="62">
        <f t="shared" si="2310"/>
        <v>0</v>
      </c>
      <c r="EK196" s="62">
        <f t="shared" si="2311"/>
        <v>0</v>
      </c>
      <c r="EL196" s="48">
        <f t="shared" si="2312"/>
        <v>0</v>
      </c>
      <c r="EM196" s="62">
        <f t="shared" si="2313"/>
        <v>0</v>
      </c>
      <c r="EN196" s="62">
        <f t="shared" si="2314"/>
        <v>0</v>
      </c>
      <c r="EO196" s="48">
        <f t="shared" si="2315"/>
        <v>0</v>
      </c>
      <c r="EP196" s="62">
        <f t="shared" si="2316"/>
        <v>0</v>
      </c>
      <c r="EQ196" s="62">
        <f t="shared" si="2316"/>
        <v>0</v>
      </c>
      <c r="ER196" s="62">
        <f t="shared" si="2316"/>
        <v>0</v>
      </c>
      <c r="ES196" s="62">
        <f t="shared" si="2316"/>
        <v>0</v>
      </c>
      <c r="ET196" s="62">
        <f t="shared" si="2316"/>
        <v>0</v>
      </c>
      <c r="EU196" s="62">
        <f t="shared" si="2316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317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 t="shared" si="1821"/>
        <v>1</v>
      </c>
      <c r="FS196" s="103" t="b">
        <f t="shared" si="1822"/>
        <v>1</v>
      </c>
      <c r="FT196" s="103" t="b">
        <f t="shared" si="1823"/>
        <v>1</v>
      </c>
      <c r="FU196" s="103" t="b">
        <f t="shared" si="1824"/>
        <v>0</v>
      </c>
      <c r="FV196" s="103" t="b">
        <f t="shared" si="1825"/>
        <v>1</v>
      </c>
      <c r="FW196" s="104" t="b">
        <f t="shared" si="1881"/>
        <v>0</v>
      </c>
      <c r="FX196" s="120" t="b">
        <f t="shared" si="2318"/>
        <v>1</v>
      </c>
      <c r="FY196" s="104" t="s">
        <v>214</v>
      </c>
      <c r="FZ196" s="104" t="b">
        <f t="shared" si="2319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20"/>
        <v>1</v>
      </c>
      <c r="GI196" s="8" t="b">
        <f t="shared" si="2321"/>
        <v>0</v>
      </c>
    </row>
    <row r="197" spans="1:192" ht="30" hidden="1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70"/>
        <v>больше макс</v>
      </c>
      <c r="Q197" s="95">
        <v>8840</v>
      </c>
      <c r="R197" s="95">
        <f t="shared" si="2271"/>
        <v>908133.20000000007</v>
      </c>
      <c r="S197" s="131">
        <v>4558</v>
      </c>
      <c r="T197" s="131">
        <v>447595.60000000003</v>
      </c>
      <c r="U197" s="131">
        <f t="shared" si="2272"/>
        <v>54</v>
      </c>
      <c r="V197" s="113">
        <f t="shared" si="2273"/>
        <v>10790</v>
      </c>
      <c r="W197" s="113">
        <f t="shared" si="2274"/>
        <v>1108456.7</v>
      </c>
      <c r="X197" s="113">
        <f t="shared" si="2275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76"/>
        <v>0</v>
      </c>
      <c r="AF197" s="95">
        <f t="shared" si="2277"/>
        <v>0</v>
      </c>
      <c r="AG197" s="114">
        <v>0</v>
      </c>
      <c r="AH197" s="95">
        <f t="shared" si="2278"/>
        <v>10790</v>
      </c>
      <c r="AI197" s="114">
        <f t="shared" si="2279"/>
        <v>1108456.7</v>
      </c>
      <c r="AJ197" s="133">
        <f t="shared" si="2280"/>
        <v>36450</v>
      </c>
      <c r="AK197" s="133">
        <f t="shared" si="2322"/>
        <v>75352</v>
      </c>
      <c r="AL197" s="133">
        <f t="shared" si="2281"/>
        <v>87397</v>
      </c>
      <c r="AM197" s="133">
        <f t="shared" si="2282"/>
        <v>0</v>
      </c>
      <c r="AN197" s="133" t="str">
        <f t="shared" si="2283"/>
        <v>нет оборота</v>
      </c>
      <c r="AO197" s="133" t="str">
        <f t="shared" si="2284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85"/>
        <v>Нет планов</v>
      </c>
      <c r="AW197" s="117">
        <f t="shared" si="2286"/>
        <v>1108456.7</v>
      </c>
      <c r="AX197" s="14"/>
      <c r="AY197" s="25">
        <f t="shared" si="2287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88"/>
        <v>0</v>
      </c>
      <c r="BG197" s="32">
        <v>0</v>
      </c>
      <c r="BH197" s="32">
        <f t="shared" si="2289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90"/>
        <v>0</v>
      </c>
      <c r="BR197" s="95">
        <f t="shared" si="2291"/>
        <v>10790</v>
      </c>
      <c r="BS197" s="133">
        <f t="shared" si="2323"/>
        <v>10790</v>
      </c>
      <c r="BT197" s="133">
        <f t="shared" si="2323"/>
        <v>10790</v>
      </c>
      <c r="BU197" s="133">
        <f t="shared" si="2323"/>
        <v>10790</v>
      </c>
      <c r="BV197" s="133">
        <f t="shared" si="2323"/>
        <v>10790</v>
      </c>
      <c r="BW197" s="133">
        <f t="shared" si="2323"/>
        <v>10790</v>
      </c>
      <c r="BX197" s="133">
        <f t="shared" si="2330"/>
        <v>10790</v>
      </c>
      <c r="BY197" s="133">
        <f t="shared" si="2330"/>
        <v>10790</v>
      </c>
      <c r="BZ197" s="133">
        <f t="shared" si="2330"/>
        <v>10790</v>
      </c>
      <c r="CA197" s="133">
        <f t="shared" si="2330"/>
        <v>10790</v>
      </c>
      <c r="CB197" s="133">
        <f t="shared" si="2330"/>
        <v>10790</v>
      </c>
      <c r="CC197" s="133">
        <f t="shared" si="2330"/>
        <v>10790</v>
      </c>
      <c r="CD197" s="133">
        <f t="shared" si="2330"/>
        <v>10790</v>
      </c>
      <c r="CE197" s="133">
        <f t="shared" si="2330"/>
        <v>10790</v>
      </c>
      <c r="CF197" s="133">
        <f t="shared" si="2330"/>
        <v>10790</v>
      </c>
      <c r="CG197" s="133">
        <f t="shared" si="2330"/>
        <v>10790</v>
      </c>
      <c r="CH197" s="133">
        <f t="shared" si="2330"/>
        <v>10790</v>
      </c>
      <c r="CI197" s="133">
        <f t="shared" si="2330"/>
        <v>10790</v>
      </c>
      <c r="CJ197" s="133">
        <f t="shared" si="2330"/>
        <v>10790</v>
      </c>
      <c r="CK197" s="133">
        <f t="shared" si="2330"/>
        <v>10790</v>
      </c>
      <c r="CL197" s="133">
        <f t="shared" si="2330"/>
        <v>10790</v>
      </c>
      <c r="CM197" s="133">
        <f t="shared" si="2330"/>
        <v>10790</v>
      </c>
      <c r="CN197" s="133">
        <f t="shared" si="2330"/>
        <v>10790</v>
      </c>
      <c r="CO197" s="133">
        <f t="shared" si="2330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93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25"/>
        <v>0</v>
      </c>
      <c r="DB197" s="4">
        <f t="shared" si="2326"/>
        <v>0</v>
      </c>
      <c r="DC197" s="4">
        <f t="shared" si="2327"/>
        <v>0</v>
      </c>
      <c r="DD197" s="136">
        <f t="shared" si="2328"/>
        <v>0</v>
      </c>
      <c r="DE197" s="31">
        <v>0</v>
      </c>
      <c r="DF197" s="31">
        <v>30</v>
      </c>
      <c r="DG197" s="31">
        <v>7712</v>
      </c>
      <c r="DH197" s="48">
        <f t="shared" si="2294"/>
        <v>90</v>
      </c>
      <c r="DI197" s="62">
        <v>2312.355</v>
      </c>
      <c r="DJ197" s="62">
        <v>227073.245</v>
      </c>
      <c r="DK197" s="48">
        <f t="shared" si="2295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96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97"/>
        <v>16.5</v>
      </c>
      <c r="DV197" s="62">
        <v>16659</v>
      </c>
      <c r="DW197" s="62">
        <v>1635913.8</v>
      </c>
      <c r="DX197" s="62">
        <f t="shared" si="2298"/>
        <v>0</v>
      </c>
      <c r="DY197" s="62">
        <f t="shared" si="2299"/>
        <v>0</v>
      </c>
      <c r="DZ197" s="48">
        <f t="shared" si="2300"/>
        <v>0</v>
      </c>
      <c r="EA197" s="62">
        <f t="shared" si="2301"/>
        <v>0</v>
      </c>
      <c r="EB197" s="62">
        <f t="shared" si="2302"/>
        <v>0</v>
      </c>
      <c r="EC197" s="48">
        <f t="shared" si="2303"/>
        <v>0</v>
      </c>
      <c r="ED197" s="62">
        <f t="shared" si="2304"/>
        <v>0</v>
      </c>
      <c r="EE197" s="62">
        <f t="shared" si="2305"/>
        <v>0</v>
      </c>
      <c r="EF197" s="48">
        <f t="shared" si="2306"/>
        <v>0</v>
      </c>
      <c r="EG197" s="62">
        <f t="shared" si="2307"/>
        <v>0</v>
      </c>
      <c r="EH197" s="62">
        <f t="shared" si="2308"/>
        <v>0</v>
      </c>
      <c r="EI197" s="48">
        <f t="shared" si="2309"/>
        <v>0</v>
      </c>
      <c r="EJ197" s="62">
        <f t="shared" si="2310"/>
        <v>0</v>
      </c>
      <c r="EK197" s="62">
        <f t="shared" si="2311"/>
        <v>0</v>
      </c>
      <c r="EL197" s="48">
        <f t="shared" si="2312"/>
        <v>0</v>
      </c>
      <c r="EM197" s="62">
        <f t="shared" si="2313"/>
        <v>0</v>
      </c>
      <c r="EN197" s="62">
        <f t="shared" si="2314"/>
        <v>0</v>
      </c>
      <c r="EO197" s="48">
        <f t="shared" si="2315"/>
        <v>0</v>
      </c>
      <c r="EP197" s="62">
        <f t="shared" si="2316"/>
        <v>0</v>
      </c>
      <c r="EQ197" s="62">
        <f t="shared" si="2316"/>
        <v>0</v>
      </c>
      <c r="ER197" s="62">
        <f t="shared" si="2316"/>
        <v>0</v>
      </c>
      <c r="ES197" s="62">
        <f t="shared" si="2316"/>
        <v>0</v>
      </c>
      <c r="ET197" s="62">
        <f t="shared" si="2316"/>
        <v>0</v>
      </c>
      <c r="EU197" s="62">
        <f t="shared" si="2316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317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 t="shared" si="1821"/>
        <v>1</v>
      </c>
      <c r="FS197" s="103" t="b">
        <f t="shared" si="1822"/>
        <v>1</v>
      </c>
      <c r="FT197" s="103" t="b">
        <f t="shared" si="1823"/>
        <v>0</v>
      </c>
      <c r="FU197" s="103" t="b">
        <f t="shared" si="1824"/>
        <v>0</v>
      </c>
      <c r="FV197" s="103" t="b">
        <f t="shared" si="1825"/>
        <v>1</v>
      </c>
      <c r="FW197" s="104" t="b">
        <f t="shared" si="1881"/>
        <v>0</v>
      </c>
      <c r="FX197" s="120" t="b">
        <f t="shared" si="2318"/>
        <v>1</v>
      </c>
      <c r="FY197" s="104" t="s">
        <v>368</v>
      </c>
      <c r="FZ197" s="104" t="b">
        <f t="shared" si="2319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20"/>
        <v>1</v>
      </c>
      <c r="GI197" s="8" t="b">
        <f t="shared" si="2321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70"/>
        <v>меньше мин</v>
      </c>
      <c r="Q198" s="95">
        <v>2964.0899705886841</v>
      </c>
      <c r="R198" s="95">
        <f t="shared" si="2271"/>
        <v>536944.89817214012</v>
      </c>
      <c r="S198" s="131">
        <v>2306.6900007724762</v>
      </c>
      <c r="T198" s="131">
        <v>419010.23864032031</v>
      </c>
      <c r="U198" s="131">
        <f t="shared" si="2272"/>
        <v>3</v>
      </c>
      <c r="V198" s="113">
        <f t="shared" si="2273"/>
        <v>1738.950021982193</v>
      </c>
      <c r="W198" s="113">
        <f t="shared" si="2274"/>
        <v>315010.79648207425</v>
      </c>
      <c r="X198" s="113">
        <f t="shared" si="2275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76"/>
        <v>0</v>
      </c>
      <c r="AF198" s="95">
        <f t="shared" si="2277"/>
        <v>0</v>
      </c>
      <c r="AG198" s="114">
        <v>0</v>
      </c>
      <c r="AH198" s="95">
        <f t="shared" si="2278"/>
        <v>1738.950021982193</v>
      </c>
      <c r="AI198" s="114">
        <f t="shared" si="2279"/>
        <v>315010.79648207425</v>
      </c>
      <c r="AJ198" s="133">
        <f t="shared" si="2280"/>
        <v>1875</v>
      </c>
      <c r="AK198" s="133">
        <f t="shared" si="2322"/>
        <v>5122</v>
      </c>
      <c r="AL198" s="133">
        <f t="shared" si="2281"/>
        <v>7441</v>
      </c>
      <c r="AM198" s="133">
        <f t="shared" si="2282"/>
        <v>11950.869999999999</v>
      </c>
      <c r="AN198" s="133">
        <f t="shared" si="2283"/>
        <v>34.742591973558888</v>
      </c>
      <c r="AO198" s="133" t="str">
        <f t="shared" si="2284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85"/>
        <v>0-02</v>
      </c>
      <c r="AW198" s="117">
        <f t="shared" si="2286"/>
        <v>0</v>
      </c>
      <c r="AX198" s="14"/>
      <c r="AY198" s="25">
        <f t="shared" si="2287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88"/>
        <v>0</v>
      </c>
      <c r="BG198" s="32">
        <v>0</v>
      </c>
      <c r="BH198" s="32">
        <f t="shared" si="2289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90"/>
        <v>1991.8116666666665</v>
      </c>
      <c r="BR198" s="95">
        <f t="shared" si="2291"/>
        <v>1052.2599705886842</v>
      </c>
      <c r="BS198" s="133">
        <f t="shared" si="2323"/>
        <v>-699.09002941131575</v>
      </c>
      <c r="BT198" s="133">
        <f t="shared" si="2323"/>
        <v>-2685.4700294113159</v>
      </c>
      <c r="BU198" s="133">
        <f t="shared" si="2323"/>
        <v>-4762.5700294113158</v>
      </c>
      <c r="BV198" s="133">
        <f t="shared" si="2323"/>
        <v>-6877.2300294113156</v>
      </c>
      <c r="BW198" s="133">
        <f t="shared" si="2323"/>
        <v>-8986.7800294113149</v>
      </c>
      <c r="BX198" s="133">
        <f t="shared" ref="BX198:CO199" si="2331">BW198-$BQ198</f>
        <v>-10978.591696077981</v>
      </c>
      <c r="BY198" s="133">
        <f t="shared" si="2331"/>
        <v>-12970.403362744648</v>
      </c>
      <c r="BZ198" s="133">
        <f t="shared" si="2331"/>
        <v>-14962.215029411314</v>
      </c>
      <c r="CA198" s="133">
        <f t="shared" si="2331"/>
        <v>-16954.026696077981</v>
      </c>
      <c r="CB198" s="133">
        <f t="shared" si="2331"/>
        <v>-18945.838362744646</v>
      </c>
      <c r="CC198" s="133">
        <f t="shared" si="2331"/>
        <v>-20937.650029411314</v>
      </c>
      <c r="CD198" s="133">
        <f t="shared" si="2331"/>
        <v>-22929.461696077982</v>
      </c>
      <c r="CE198" s="133">
        <f t="shared" si="2331"/>
        <v>-24921.273362744651</v>
      </c>
      <c r="CF198" s="133">
        <f t="shared" si="2331"/>
        <v>-26913.085029411319</v>
      </c>
      <c r="CG198" s="133">
        <f t="shared" si="2331"/>
        <v>-28904.896696077987</v>
      </c>
      <c r="CH198" s="133">
        <f t="shared" si="2331"/>
        <v>-30896.708362744655</v>
      </c>
      <c r="CI198" s="133">
        <f t="shared" si="2331"/>
        <v>-32888.520029411324</v>
      </c>
      <c r="CJ198" s="133">
        <f t="shared" si="2331"/>
        <v>-34880.331696077992</v>
      </c>
      <c r="CK198" s="133">
        <f t="shared" si="2331"/>
        <v>-36872.14336274466</v>
      </c>
      <c r="CL198" s="133">
        <f t="shared" si="2331"/>
        <v>-38863.955029411329</v>
      </c>
      <c r="CM198" s="133">
        <f t="shared" si="2331"/>
        <v>-40855.766696077997</v>
      </c>
      <c r="CN198" s="133">
        <f t="shared" si="2331"/>
        <v>-42847.578362744665</v>
      </c>
      <c r="CO198" s="133">
        <f t="shared" si="2331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93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25"/>
        <v>0</v>
      </c>
      <c r="DB198" s="4">
        <f t="shared" si="2326"/>
        <v>0</v>
      </c>
      <c r="DC198" s="4">
        <f t="shared" si="2327"/>
        <v>0</v>
      </c>
      <c r="DD198" s="136">
        <f t="shared" si="2328"/>
        <v>0</v>
      </c>
      <c r="DE198" s="31">
        <v>0</v>
      </c>
      <c r="DF198" s="31">
        <v>45</v>
      </c>
      <c r="DG198" s="31">
        <v>1800</v>
      </c>
      <c r="DH198" s="48">
        <f t="shared" si="2294"/>
        <v>2</v>
      </c>
      <c r="DI198" s="62">
        <v>1106.444</v>
      </c>
      <c r="DJ198" s="62">
        <v>201177.69099999999</v>
      </c>
      <c r="DK198" s="48">
        <f t="shared" si="2295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96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97"/>
        <v>4</v>
      </c>
      <c r="DV198" s="62">
        <v>1779.7399999999991</v>
      </c>
      <c r="DW198" s="62">
        <v>330193.15059091535</v>
      </c>
      <c r="DX198" s="62">
        <f t="shared" si="2298"/>
        <v>2867.7449999999999</v>
      </c>
      <c r="DY198" s="62">
        <f t="shared" si="2299"/>
        <v>519492.00675</v>
      </c>
      <c r="DZ198" s="48">
        <f t="shared" si="2300"/>
        <v>4</v>
      </c>
      <c r="EA198" s="62">
        <f t="shared" si="2301"/>
        <v>2627.0250000000001</v>
      </c>
      <c r="EB198" s="62">
        <f t="shared" si="2302"/>
        <v>475885.57875000004</v>
      </c>
      <c r="EC198" s="48">
        <f t="shared" si="2303"/>
        <v>3</v>
      </c>
      <c r="ED198" s="62">
        <f t="shared" si="2304"/>
        <v>2979.57</v>
      </c>
      <c r="EE198" s="62">
        <f t="shared" si="2305"/>
        <v>539749.10550000006</v>
      </c>
      <c r="EF198" s="48">
        <f t="shared" si="2306"/>
        <v>4</v>
      </c>
      <c r="EG198" s="62">
        <f t="shared" si="2307"/>
        <v>3115.65</v>
      </c>
      <c r="EH198" s="62">
        <f t="shared" si="2308"/>
        <v>564399.99750000006</v>
      </c>
      <c r="EI198" s="48">
        <f t="shared" si="2309"/>
        <v>4</v>
      </c>
      <c r="EJ198" s="62">
        <f t="shared" si="2310"/>
        <v>3171.99</v>
      </c>
      <c r="EK198" s="62">
        <f t="shared" si="2311"/>
        <v>574605.98849999998</v>
      </c>
      <c r="EL198" s="48">
        <f t="shared" si="2312"/>
        <v>4</v>
      </c>
      <c r="EM198" s="62">
        <f t="shared" si="2313"/>
        <v>3164.3250000000003</v>
      </c>
      <c r="EN198" s="62">
        <f t="shared" si="2314"/>
        <v>573217.47375000012</v>
      </c>
      <c r="EO198" s="48">
        <f t="shared" si="2315"/>
        <v>4</v>
      </c>
      <c r="EP198" s="62">
        <f t="shared" ref="EP198:ER203" si="2332">BK198*$FH198</f>
        <v>346328.00449999998</v>
      </c>
      <c r="EQ198" s="62">
        <f t="shared" si="2332"/>
        <v>317257.05249999999</v>
      </c>
      <c r="ER198" s="62">
        <f t="shared" si="2332"/>
        <v>359832.73700000002</v>
      </c>
      <c r="ES198" s="62">
        <f t="shared" ref="ES198:EU203" si="2333">BN198*$FH198</f>
        <v>376266.66499999998</v>
      </c>
      <c r="ET198" s="62">
        <f t="shared" si="2333"/>
        <v>383070.65899999999</v>
      </c>
      <c r="EU198" s="62">
        <f t="shared" si="2333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317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 t="shared" si="1821"/>
        <v>0</v>
      </c>
      <c r="FS198" s="103" t="b">
        <f t="shared" si="1822"/>
        <v>0</v>
      </c>
      <c r="FT198" s="103" t="b">
        <f t="shared" si="1823"/>
        <v>0</v>
      </c>
      <c r="FU198" s="103" t="b">
        <f t="shared" si="1824"/>
        <v>0</v>
      </c>
      <c r="FV198" s="103" t="b">
        <f t="shared" si="1825"/>
        <v>1</v>
      </c>
      <c r="FW198" s="104" t="b">
        <f t="shared" si="1881"/>
        <v>0</v>
      </c>
      <c r="FX198" s="120" t="b">
        <f t="shared" si="2318"/>
        <v>1</v>
      </c>
      <c r="FY198" s="104" t="s">
        <v>491</v>
      </c>
      <c r="FZ198" s="104" t="b">
        <f t="shared" si="2319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20"/>
        <v>1</v>
      </c>
      <c r="GI198" s="8" t="b">
        <f t="shared" si="2321"/>
        <v>0</v>
      </c>
      <c r="GJ198" s="31" t="s">
        <v>203</v>
      </c>
    </row>
    <row r="199" spans="1:192" hidden="1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70"/>
        <v>нет минмакс</v>
      </c>
      <c r="Q199" s="95">
        <v>12710</v>
      </c>
      <c r="R199" s="95">
        <f t="shared" si="2271"/>
        <v>126972.90000000001</v>
      </c>
      <c r="S199" s="114">
        <v>44564</v>
      </c>
      <c r="T199" s="114">
        <v>443411.8</v>
      </c>
      <c r="U199" s="131">
        <f t="shared" si="2272"/>
        <v>47</v>
      </c>
      <c r="V199" s="115">
        <f t="shared" si="2273"/>
        <v>12545</v>
      </c>
      <c r="W199" s="115">
        <f t="shared" si="2274"/>
        <v>125324.55</v>
      </c>
      <c r="X199" s="115">
        <f t="shared" si="2275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76"/>
        <v>0</v>
      </c>
      <c r="AF199" s="95">
        <f t="shared" si="2277"/>
        <v>0</v>
      </c>
      <c r="AG199" s="114">
        <v>0</v>
      </c>
      <c r="AH199" s="95">
        <f t="shared" si="2278"/>
        <v>12545</v>
      </c>
      <c r="AI199" s="114">
        <f t="shared" si="2279"/>
        <v>125324.55</v>
      </c>
      <c r="AJ199" s="114">
        <f t="shared" si="2280"/>
        <v>14034</v>
      </c>
      <c r="AK199" s="114">
        <f t="shared" si="2322"/>
        <v>34314</v>
      </c>
      <c r="AL199" s="114">
        <f t="shared" si="2281"/>
        <v>53816</v>
      </c>
      <c r="AM199" s="114">
        <f t="shared" si="2282"/>
        <v>88099</v>
      </c>
      <c r="AN199" s="133">
        <f t="shared" si="2283"/>
        <v>91.051203759407031</v>
      </c>
      <c r="AO199" s="133" t="str">
        <f t="shared" si="2284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85"/>
        <v>0-01</v>
      </c>
      <c r="AW199" s="126">
        <f t="shared" si="2286"/>
        <v>0</v>
      </c>
      <c r="AX199" s="138"/>
      <c r="AY199" s="115">
        <f t="shared" si="2287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88"/>
        <v>0</v>
      </c>
      <c r="BG199" s="32">
        <v>0</v>
      </c>
      <c r="BH199" s="32">
        <f t="shared" si="2289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90"/>
        <v>14683.166666666666</v>
      </c>
      <c r="BR199" s="95">
        <f t="shared" si="2291"/>
        <v>-3490</v>
      </c>
      <c r="BS199" s="133">
        <f t="shared" ref="BS199:BW204" si="2334">BR199-BL199</f>
        <v>-30490</v>
      </c>
      <c r="BT199" s="133">
        <f t="shared" si="2334"/>
        <v>-46690</v>
      </c>
      <c r="BU199" s="133">
        <f t="shared" si="2334"/>
        <v>-63589</v>
      </c>
      <c r="BV199" s="133">
        <f t="shared" si="2334"/>
        <v>-68989</v>
      </c>
      <c r="BW199" s="133">
        <f t="shared" si="2334"/>
        <v>-75389</v>
      </c>
      <c r="BX199" s="133">
        <f t="shared" si="2331"/>
        <v>-90072.166666666672</v>
      </c>
      <c r="BY199" s="133">
        <f t="shared" si="2331"/>
        <v>-104755.33333333334</v>
      </c>
      <c r="BZ199" s="133">
        <f t="shared" si="2331"/>
        <v>-119438.50000000001</v>
      </c>
      <c r="CA199" s="133">
        <f t="shared" si="2331"/>
        <v>-134121.66666666669</v>
      </c>
      <c r="CB199" s="133">
        <f t="shared" si="2331"/>
        <v>-148804.83333333334</v>
      </c>
      <c r="CC199" s="133">
        <f t="shared" si="2331"/>
        <v>-163488</v>
      </c>
      <c r="CD199" s="133">
        <f t="shared" si="2331"/>
        <v>-178171.16666666666</v>
      </c>
      <c r="CE199" s="133">
        <f t="shared" si="2331"/>
        <v>-192854.33333333331</v>
      </c>
      <c r="CF199" s="133">
        <f t="shared" si="2331"/>
        <v>-207537.49999999997</v>
      </c>
      <c r="CG199" s="133">
        <f t="shared" si="2331"/>
        <v>-222220.66666666663</v>
      </c>
      <c r="CH199" s="133">
        <f t="shared" si="2331"/>
        <v>-236903.83333333328</v>
      </c>
      <c r="CI199" s="133">
        <f t="shared" si="2331"/>
        <v>-251586.99999999994</v>
      </c>
      <c r="CJ199" s="133">
        <f t="shared" si="2331"/>
        <v>-266270.16666666663</v>
      </c>
      <c r="CK199" s="133">
        <f t="shared" si="2331"/>
        <v>-280953.33333333331</v>
      </c>
      <c r="CL199" s="133">
        <f t="shared" si="2331"/>
        <v>-295636.5</v>
      </c>
      <c r="CM199" s="133">
        <f t="shared" si="2331"/>
        <v>-310319.66666666669</v>
      </c>
      <c r="CN199" s="133">
        <f t="shared" si="2331"/>
        <v>-325002.83333333337</v>
      </c>
      <c r="CO199" s="133">
        <f t="shared" si="2331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93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35">IFERROR(CZ199/CY199,0)</f>
        <v>0</v>
      </c>
      <c r="DB199" s="4">
        <f t="shared" ref="DB199:DB207" si="2336">CY199*FH199</f>
        <v>0</v>
      </c>
      <c r="DC199" s="4">
        <f t="shared" ref="DC199:DC207" si="2337">CZ199*FH199</f>
        <v>0</v>
      </c>
      <c r="DD199" s="136">
        <f t="shared" ref="DD199:DD207" si="2338">IFERROR(DC199/DB199,0)</f>
        <v>0</v>
      </c>
      <c r="DE199" s="31">
        <v>0</v>
      </c>
      <c r="DG199" s="31">
        <v>0</v>
      </c>
      <c r="DH199" s="48">
        <f t="shared" si="2294"/>
        <v>0</v>
      </c>
      <c r="DI199" s="62">
        <v>20308.612999999998</v>
      </c>
      <c r="DJ199" s="62">
        <v>189116.13099999996</v>
      </c>
      <c r="DK199" s="48">
        <f t="shared" si="2295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96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97"/>
        <v>20</v>
      </c>
      <c r="DV199" s="62">
        <v>2460</v>
      </c>
      <c r="DW199" s="62">
        <v>22907.800647887321</v>
      </c>
      <c r="DX199" s="62">
        <f t="shared" si="2298"/>
        <v>0</v>
      </c>
      <c r="DY199" s="62">
        <f t="shared" si="2299"/>
        <v>0</v>
      </c>
      <c r="DZ199" s="48">
        <f t="shared" si="2300"/>
        <v>0</v>
      </c>
      <c r="EA199" s="62">
        <f t="shared" si="2301"/>
        <v>0</v>
      </c>
      <c r="EB199" s="62">
        <f t="shared" si="2302"/>
        <v>0</v>
      </c>
      <c r="EC199" s="48">
        <f t="shared" si="2303"/>
        <v>0</v>
      </c>
      <c r="ED199" s="62">
        <f t="shared" si="2304"/>
        <v>0</v>
      </c>
      <c r="EE199" s="62">
        <f t="shared" si="2305"/>
        <v>0</v>
      </c>
      <c r="EF199" s="48">
        <f t="shared" si="2306"/>
        <v>0</v>
      </c>
      <c r="EG199" s="62">
        <f t="shared" si="2307"/>
        <v>0</v>
      </c>
      <c r="EH199" s="62">
        <f t="shared" si="2308"/>
        <v>0</v>
      </c>
      <c r="EI199" s="48">
        <f t="shared" si="2309"/>
        <v>0</v>
      </c>
      <c r="EJ199" s="62">
        <f t="shared" si="2310"/>
        <v>0</v>
      </c>
      <c r="EK199" s="62">
        <f t="shared" si="2311"/>
        <v>0</v>
      </c>
      <c r="EL199" s="48">
        <f t="shared" si="2312"/>
        <v>0</v>
      </c>
      <c r="EM199" s="62">
        <f t="shared" si="2313"/>
        <v>0</v>
      </c>
      <c r="EN199" s="62">
        <f t="shared" si="2314"/>
        <v>0</v>
      </c>
      <c r="EO199" s="48">
        <f t="shared" si="2315"/>
        <v>0</v>
      </c>
      <c r="EP199" s="62">
        <f t="shared" si="2332"/>
        <v>161838</v>
      </c>
      <c r="EQ199" s="62">
        <f t="shared" si="2332"/>
        <v>269730</v>
      </c>
      <c r="ER199" s="62">
        <f t="shared" si="2332"/>
        <v>161838</v>
      </c>
      <c r="ES199" s="62">
        <f t="shared" si="2333"/>
        <v>168821.01</v>
      </c>
      <c r="ET199" s="62">
        <f t="shared" si="2333"/>
        <v>53946</v>
      </c>
      <c r="EU199" s="62">
        <f t="shared" si="2333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317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 t="shared" ref="FR199:FR262" si="2339">EXACT(FK199,BA199)</f>
        <v>1</v>
      </c>
      <c r="FS199" s="120" t="b">
        <f t="shared" ref="FS199:FS262" si="2340">EXACT(FL199,BB199)</f>
        <v>1</v>
      </c>
      <c r="FT199" s="120" t="b">
        <f t="shared" ref="FT199:FT262" si="2341">EXACT(FM199,BC199)</f>
        <v>1</v>
      </c>
      <c r="FU199" s="120" t="b">
        <f t="shared" ref="FU199:FU262" si="2342">EXACT(FN199,BD199)</f>
        <v>1</v>
      </c>
      <c r="FV199" s="120" t="b">
        <f t="shared" ref="FV199:FV262" si="2343">EXACT(FO199,BE199)</f>
        <v>1</v>
      </c>
      <c r="FW199" s="104" t="b">
        <f t="shared" si="1881"/>
        <v>0</v>
      </c>
      <c r="FX199" s="120" t="b">
        <f t="shared" si="2318"/>
        <v>1</v>
      </c>
      <c r="FY199" s="104" t="s">
        <v>368</v>
      </c>
      <c r="FZ199" s="104" t="b">
        <f t="shared" si="2319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20"/>
        <v>1</v>
      </c>
      <c r="GI199" s="8" t="b">
        <f t="shared" si="2321"/>
        <v>0</v>
      </c>
      <c r="GJ199" s="31" t="s">
        <v>203</v>
      </c>
    </row>
    <row r="200" spans="1:192" hidden="1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44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45">Q200*FH200</f>
        <v>1177846.4500000002</v>
      </c>
      <c r="S200" s="131">
        <v>1110765</v>
      </c>
      <c r="T200" s="131">
        <v>588705.45000000007</v>
      </c>
      <c r="U200" s="131">
        <f t="shared" ref="U200:U208" si="2346">IFERROR(ROUNDUP(S200/$EX200,0)*$EY200,0)</f>
        <v>2</v>
      </c>
      <c r="V200" s="113">
        <f t="shared" ref="V200:V208" si="2347">SUM(Z200:AD200)</f>
        <v>2993514</v>
      </c>
      <c r="W200" s="113">
        <f t="shared" ref="W200:W208" si="2348">V200*FH200</f>
        <v>1646432.7000000002</v>
      </c>
      <c r="X200" s="113">
        <f t="shared" ref="X200:X208" si="2349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50">AA200*FH200</f>
        <v>0</v>
      </c>
      <c r="AF200" s="95">
        <f t="shared" ref="AF200:AF208" si="2351">AB200*FH200</f>
        <v>0</v>
      </c>
      <c r="AG200" s="114">
        <v>0</v>
      </c>
      <c r="AH200" s="95">
        <f t="shared" ref="AH200:AH208" si="2352">V200-AG200</f>
        <v>2993514</v>
      </c>
      <c r="AI200" s="114">
        <f t="shared" ref="AI200:AI208" si="2353">IF(AH200&gt;0,AH200*FH200,0)</f>
        <v>1646432.7000000002</v>
      </c>
      <c r="AJ200" s="133">
        <f t="shared" ref="AJ200:AJ208" si="2354">CU200</f>
        <v>677782</v>
      </c>
      <c r="AK200" s="133">
        <f t="shared" ref="AK200:AK208" si="2355">SUM(CS200:CU200)</f>
        <v>2286662</v>
      </c>
      <c r="AL200" s="133">
        <f t="shared" ref="AL200:AL208" si="2356">SUM(CP200:CU200)</f>
        <v>5132467</v>
      </c>
      <c r="AM200" s="133">
        <f t="shared" ref="AM200:AM208" si="2357">SUM(BK200:BP200)</f>
        <v>7460913</v>
      </c>
      <c r="AN200" s="133">
        <f t="shared" ref="AN200:AN208" si="2358">IFERROR(S200/BQ200*30,"нет оборота")</f>
        <v>26.798020563971193</v>
      </c>
      <c r="AO200" s="133" t="str">
        <f t="shared" ref="AO200:AO208" si="2359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60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61">IF(AT200="Да",W200,0)</f>
        <v>0</v>
      </c>
      <c r="AX200" s="14"/>
      <c r="AY200" s="25">
        <f t="shared" ref="AY200:AY208" si="2362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63">BE200*FH200</f>
        <v>0</v>
      </c>
      <c r="BG200" s="32">
        <v>0</v>
      </c>
      <c r="BH200" s="32">
        <f t="shared" ref="BH200:BH208" si="2364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65">IF(COUNTIF(BK200:BP200,"&gt;0")=0,0,SUM(BK200:BP200)/COUNTIF(BK200:BP200,"&gt;0"))</f>
        <v>1243485.5</v>
      </c>
      <c r="BR200" s="95">
        <f t="shared" ref="BR200:BR208" si="2366">IF(OR(Q200=0,SUM(BK200:BP200)=0,V200&gt;Q200),V200-BK200,Q200-BK200)</f>
        <v>2138257</v>
      </c>
      <c r="BS200" s="133">
        <f t="shared" si="2334"/>
        <v>241077</v>
      </c>
      <c r="BT200" s="133">
        <f t="shared" si="2334"/>
        <v>-1064854</v>
      </c>
      <c r="BU200" s="133">
        <f t="shared" si="2334"/>
        <v>-2214776</v>
      </c>
      <c r="BV200" s="133">
        <f t="shared" si="2334"/>
        <v>-3329152</v>
      </c>
      <c r="BW200" s="133">
        <f t="shared" si="2334"/>
        <v>-4467399</v>
      </c>
      <c r="BX200" s="133">
        <f t="shared" ref="BX200:CO202" si="2367">BW200-$BQ200</f>
        <v>-5710884.5</v>
      </c>
      <c r="BY200" s="133">
        <f t="shared" si="2367"/>
        <v>-6954370</v>
      </c>
      <c r="BZ200" s="133">
        <f t="shared" si="2367"/>
        <v>-8197855.5</v>
      </c>
      <c r="CA200" s="133">
        <f t="shared" si="2367"/>
        <v>-9441341</v>
      </c>
      <c r="CB200" s="133">
        <f t="shared" si="2367"/>
        <v>-10684826.5</v>
      </c>
      <c r="CC200" s="133">
        <f t="shared" si="2367"/>
        <v>-11928312</v>
      </c>
      <c r="CD200" s="133">
        <f t="shared" si="2367"/>
        <v>-13171797.5</v>
      </c>
      <c r="CE200" s="133">
        <f t="shared" si="2367"/>
        <v>-14415283</v>
      </c>
      <c r="CF200" s="133">
        <f t="shared" si="2367"/>
        <v>-15658768.5</v>
      </c>
      <c r="CG200" s="133">
        <f t="shared" si="2367"/>
        <v>-16902254</v>
      </c>
      <c r="CH200" s="133">
        <f t="shared" si="2367"/>
        <v>-18145739.5</v>
      </c>
      <c r="CI200" s="133">
        <f t="shared" si="2367"/>
        <v>-19389225</v>
      </c>
      <c r="CJ200" s="133">
        <f t="shared" si="2367"/>
        <v>-20632710.5</v>
      </c>
      <c r="CK200" s="133">
        <f t="shared" si="2367"/>
        <v>-21876196</v>
      </c>
      <c r="CL200" s="133">
        <f t="shared" si="2367"/>
        <v>-23119681.5</v>
      </c>
      <c r="CM200" s="133">
        <f t="shared" si="2367"/>
        <v>-24363167</v>
      </c>
      <c r="CN200" s="133">
        <f t="shared" si="2367"/>
        <v>-25606652.5</v>
      </c>
      <c r="CO200" s="133">
        <f t="shared" si="2367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68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35"/>
        <v>0</v>
      </c>
      <c r="DB200" s="4">
        <f t="shared" si="2336"/>
        <v>0</v>
      </c>
      <c r="DC200" s="4">
        <f t="shared" si="2337"/>
        <v>0</v>
      </c>
      <c r="DD200" s="136">
        <f t="shared" si="2338"/>
        <v>0</v>
      </c>
      <c r="DE200" s="31">
        <v>0</v>
      </c>
      <c r="DF200" s="31">
        <v>25</v>
      </c>
      <c r="DG200" s="31">
        <v>851456</v>
      </c>
      <c r="DH200" s="48">
        <f t="shared" ref="DH200:DH208" si="2369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70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71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72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73">$DF200*BK200/30</f>
        <v>712714.16666666663</v>
      </c>
      <c r="DY200" s="62">
        <f t="shared" ref="DY200:DY208" si="2374">DX200*$FH200</f>
        <v>391992.79166666669</v>
      </c>
      <c r="DZ200" s="48">
        <f t="shared" ref="DZ200:DZ208" si="2375">IFERROR(ROUNDUP(DX200/$EX200,0)*$EY200,0)</f>
        <v>1</v>
      </c>
      <c r="EA200" s="62">
        <f t="shared" ref="EA200:EA208" si="2376">$DF200*BL200/30</f>
        <v>1580983.3333333333</v>
      </c>
      <c r="EB200" s="62">
        <f t="shared" ref="EB200:EB208" si="2377">EA200*$FH200</f>
        <v>869540.83333333337</v>
      </c>
      <c r="EC200" s="48">
        <f t="shared" ref="EC200:EC208" si="2378">IFERROR(ROUNDUP(EA200/$EX200,0)*$EY200,0)</f>
        <v>3</v>
      </c>
      <c r="ED200" s="62">
        <f t="shared" ref="ED200:ED208" si="2379">$DF200*BM200/30</f>
        <v>1088275.8333333333</v>
      </c>
      <c r="EE200" s="62">
        <f t="shared" ref="EE200:EE208" si="2380">ED200*$FH200</f>
        <v>598551.70833333337</v>
      </c>
      <c r="EF200" s="48">
        <f t="shared" ref="EF200:EF208" si="2381">IFERROR(ROUNDUP(ED200/$EX200,0)*$EY200,0)</f>
        <v>2</v>
      </c>
      <c r="EG200" s="62">
        <f t="shared" ref="EG200:EG208" si="2382">$DF200*BN200/30</f>
        <v>958268.33333333337</v>
      </c>
      <c r="EH200" s="62">
        <f t="shared" ref="EH200:EH208" si="2383">EG200*$FH200</f>
        <v>527047.58333333337</v>
      </c>
      <c r="EI200" s="48">
        <f t="shared" ref="EI200:EI208" si="2384">IFERROR(ROUNDUP(EG200/$EX200,0)*$EY200,0)</f>
        <v>2</v>
      </c>
      <c r="EJ200" s="62">
        <f t="shared" ref="EJ200:EJ208" si="2385">$DF200*BO200/30</f>
        <v>928646.66666666663</v>
      </c>
      <c r="EK200" s="62">
        <f t="shared" ref="EK200:EK208" si="2386">EJ200*$FH200</f>
        <v>510755.66666666669</v>
      </c>
      <c r="EL200" s="48">
        <f t="shared" ref="EL200:EL208" si="2387">IFERROR(ROUNDUP(EJ200/$EX200,0)*$EY200,0)</f>
        <v>2</v>
      </c>
      <c r="EM200" s="62">
        <f t="shared" ref="EM200:EM208" si="2388">$DF200*BP200/30</f>
        <v>948539.16666666663</v>
      </c>
      <c r="EN200" s="62">
        <f t="shared" ref="EN200:EN208" si="2389">EM200*$FH200</f>
        <v>521696.54166666669</v>
      </c>
      <c r="EO200" s="48">
        <f t="shared" ref="EO200:EO208" si="2390">IFERROR(ROUNDUP(EM200/$EX200,0)*$EY200,0)</f>
        <v>2</v>
      </c>
      <c r="EP200" s="62">
        <f t="shared" si="2332"/>
        <v>470391.35000000003</v>
      </c>
      <c r="EQ200" s="62">
        <f t="shared" si="2332"/>
        <v>1043449.0000000001</v>
      </c>
      <c r="ER200" s="62">
        <f t="shared" si="2332"/>
        <v>718262.05</v>
      </c>
      <c r="ES200" s="62">
        <f t="shared" si="2333"/>
        <v>632457.10000000009</v>
      </c>
      <c r="ET200" s="62">
        <f t="shared" si="2333"/>
        <v>612906.80000000005</v>
      </c>
      <c r="EU200" s="62">
        <f t="shared" si="2333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91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 t="shared" si="2339"/>
        <v>0</v>
      </c>
      <c r="FS200" s="103" t="b">
        <f t="shared" si="2340"/>
        <v>1</v>
      </c>
      <c r="FT200" s="103" t="b">
        <f t="shared" si="2341"/>
        <v>0</v>
      </c>
      <c r="FU200" s="103" t="b">
        <f t="shared" si="2342"/>
        <v>0</v>
      </c>
      <c r="FV200" s="103" t="b">
        <f t="shared" si="2343"/>
        <v>1</v>
      </c>
      <c r="FW200" s="104" t="b">
        <f t="shared" ref="FW200:FW263" si="2392">EXACT(FP200,BG200)</f>
        <v>0</v>
      </c>
      <c r="FX200" s="120" t="b">
        <f t="shared" ref="FX200:FX208" si="2393">EXACT(FQ200,BI200)</f>
        <v>1</v>
      </c>
      <c r="FY200" s="104" t="s">
        <v>368</v>
      </c>
      <c r="FZ200" s="104" t="b">
        <f t="shared" ref="FZ200:FZ208" si="2394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95">EXACT(GD200,C200)</f>
        <v>1</v>
      </c>
      <c r="GI200" s="8" t="b">
        <f t="shared" ref="GI200:GI208" si="2396">EXACT(GG200,G200)</f>
        <v>0</v>
      </c>
      <c r="GJ200" s="31" t="s">
        <v>203</v>
      </c>
    </row>
    <row r="201" spans="1:192" hidden="1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44"/>
        <v>нет минмакс</v>
      </c>
      <c r="Q201" s="95">
        <v>5000</v>
      </c>
      <c r="R201" s="95">
        <f t="shared" si="2345"/>
        <v>17550</v>
      </c>
      <c r="S201" s="114">
        <v>103900</v>
      </c>
      <c r="T201" s="114">
        <v>383391</v>
      </c>
      <c r="U201" s="131">
        <f t="shared" si="2346"/>
        <v>11</v>
      </c>
      <c r="V201" s="115">
        <f t="shared" si="2347"/>
        <v>10000</v>
      </c>
      <c r="W201" s="115">
        <f t="shared" si="2348"/>
        <v>35100</v>
      </c>
      <c r="X201" s="115">
        <f t="shared" si="2349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50"/>
        <v>0</v>
      </c>
      <c r="AF201" s="95">
        <f t="shared" si="2351"/>
        <v>0</v>
      </c>
      <c r="AG201" s="114">
        <v>0</v>
      </c>
      <c r="AH201" s="95">
        <f t="shared" si="2352"/>
        <v>10000</v>
      </c>
      <c r="AI201" s="114">
        <f t="shared" si="2353"/>
        <v>35100</v>
      </c>
      <c r="AJ201" s="114">
        <f t="shared" si="2354"/>
        <v>63855</v>
      </c>
      <c r="AK201" s="114">
        <f t="shared" si="2355"/>
        <v>219970</v>
      </c>
      <c r="AL201" s="114">
        <f t="shared" si="2356"/>
        <v>362107</v>
      </c>
      <c r="AM201" s="114">
        <f t="shared" si="2357"/>
        <v>460025</v>
      </c>
      <c r="AN201" s="133">
        <f t="shared" si="2358"/>
        <v>40.654312265637742</v>
      </c>
      <c r="AO201" s="133" t="str">
        <f t="shared" si="2359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60"/>
        <v>0-01</v>
      </c>
      <c r="AW201" s="126">
        <f t="shared" si="2361"/>
        <v>0</v>
      </c>
      <c r="AX201" s="138"/>
      <c r="AY201" s="115">
        <f t="shared" si="2362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63"/>
        <v>0</v>
      </c>
      <c r="BG201" s="32">
        <v>0</v>
      </c>
      <c r="BH201" s="32">
        <f t="shared" si="2364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65"/>
        <v>76670.833333333328</v>
      </c>
      <c r="BR201" s="95">
        <f t="shared" si="2366"/>
        <v>-73333</v>
      </c>
      <c r="BS201" s="133">
        <f t="shared" si="2334"/>
        <v>-156384</v>
      </c>
      <c r="BT201" s="133">
        <f t="shared" si="2334"/>
        <v>-233260</v>
      </c>
      <c r="BU201" s="133">
        <f t="shared" si="2334"/>
        <v>-309926</v>
      </c>
      <c r="BV201" s="133">
        <f t="shared" si="2334"/>
        <v>-384755</v>
      </c>
      <c r="BW201" s="133">
        <f t="shared" si="2334"/>
        <v>-450025</v>
      </c>
      <c r="BX201" s="133">
        <f t="shared" si="2367"/>
        <v>-526695.83333333337</v>
      </c>
      <c r="BY201" s="133">
        <f t="shared" si="2367"/>
        <v>-603366.66666666674</v>
      </c>
      <c r="BZ201" s="133">
        <f t="shared" si="2367"/>
        <v>-680037.50000000012</v>
      </c>
      <c r="CA201" s="133">
        <f t="shared" si="2367"/>
        <v>-756708.33333333349</v>
      </c>
      <c r="CB201" s="133">
        <f t="shared" si="2367"/>
        <v>-833379.16666666686</v>
      </c>
      <c r="CC201" s="133">
        <f t="shared" si="2367"/>
        <v>-910050.00000000023</v>
      </c>
      <c r="CD201" s="133">
        <f t="shared" si="2367"/>
        <v>-986720.8333333336</v>
      </c>
      <c r="CE201" s="133">
        <f t="shared" si="2367"/>
        <v>-1063391.666666667</v>
      </c>
      <c r="CF201" s="133">
        <f t="shared" si="2367"/>
        <v>-1140062.5000000002</v>
      </c>
      <c r="CG201" s="133">
        <f t="shared" si="2367"/>
        <v>-1216733.3333333335</v>
      </c>
      <c r="CH201" s="133">
        <f t="shared" si="2367"/>
        <v>-1293404.1666666667</v>
      </c>
      <c r="CI201" s="133">
        <f t="shared" si="2367"/>
        <v>-1370075</v>
      </c>
      <c r="CJ201" s="133">
        <f t="shared" si="2367"/>
        <v>-1446745.8333333333</v>
      </c>
      <c r="CK201" s="133">
        <f t="shared" si="2367"/>
        <v>-1523416.6666666665</v>
      </c>
      <c r="CL201" s="133">
        <f t="shared" si="2367"/>
        <v>-1600087.4999999998</v>
      </c>
      <c r="CM201" s="133">
        <f t="shared" si="2367"/>
        <v>-1676758.333333333</v>
      </c>
      <c r="CN201" s="133">
        <f t="shared" si="2367"/>
        <v>-1753429.1666666663</v>
      </c>
      <c r="CO201" s="133">
        <f t="shared" si="2367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68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35"/>
        <v>0</v>
      </c>
      <c r="DB201" s="4">
        <f t="shared" si="2336"/>
        <v>0</v>
      </c>
      <c r="DC201" s="4">
        <f t="shared" si="2337"/>
        <v>0</v>
      </c>
      <c r="DD201" s="136">
        <f t="shared" si="2338"/>
        <v>0</v>
      </c>
      <c r="DE201" s="31">
        <v>0</v>
      </c>
      <c r="DG201" s="31">
        <v>0</v>
      </c>
      <c r="DH201" s="48">
        <f t="shared" si="2369"/>
        <v>0</v>
      </c>
      <c r="DI201" s="62">
        <v>19279</v>
      </c>
      <c r="DJ201" s="62">
        <v>69863.733000000007</v>
      </c>
      <c r="DK201" s="48">
        <f t="shared" si="2370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71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72"/>
        <v>13</v>
      </c>
      <c r="DV201" s="62">
        <v>51119</v>
      </c>
      <c r="DW201" s="62">
        <v>188261.90232469008</v>
      </c>
      <c r="DX201" s="62">
        <f t="shared" si="2373"/>
        <v>0</v>
      </c>
      <c r="DY201" s="62">
        <f t="shared" si="2374"/>
        <v>0</v>
      </c>
      <c r="DZ201" s="48">
        <f t="shared" si="2375"/>
        <v>0</v>
      </c>
      <c r="EA201" s="62">
        <f t="shared" si="2376"/>
        <v>0</v>
      </c>
      <c r="EB201" s="62">
        <f t="shared" si="2377"/>
        <v>0</v>
      </c>
      <c r="EC201" s="48">
        <f t="shared" si="2378"/>
        <v>0</v>
      </c>
      <c r="ED201" s="62">
        <f t="shared" si="2379"/>
        <v>0</v>
      </c>
      <c r="EE201" s="62">
        <f t="shared" si="2380"/>
        <v>0</v>
      </c>
      <c r="EF201" s="48">
        <f t="shared" si="2381"/>
        <v>0</v>
      </c>
      <c r="EG201" s="62">
        <f t="shared" si="2382"/>
        <v>0</v>
      </c>
      <c r="EH201" s="62">
        <f t="shared" si="2383"/>
        <v>0</v>
      </c>
      <c r="EI201" s="48">
        <f t="shared" si="2384"/>
        <v>0</v>
      </c>
      <c r="EJ201" s="62">
        <f t="shared" si="2385"/>
        <v>0</v>
      </c>
      <c r="EK201" s="62">
        <f t="shared" si="2386"/>
        <v>0</v>
      </c>
      <c r="EL201" s="48">
        <f t="shared" si="2387"/>
        <v>0</v>
      </c>
      <c r="EM201" s="62">
        <f t="shared" si="2388"/>
        <v>0</v>
      </c>
      <c r="EN201" s="62">
        <f t="shared" si="2389"/>
        <v>0</v>
      </c>
      <c r="EO201" s="48">
        <f t="shared" si="2390"/>
        <v>0</v>
      </c>
      <c r="EP201" s="62">
        <f t="shared" si="2332"/>
        <v>292498.82999999996</v>
      </c>
      <c r="EQ201" s="62">
        <f t="shared" si="2332"/>
        <v>291509.01</v>
      </c>
      <c r="ER201" s="62">
        <f t="shared" si="2332"/>
        <v>269834.76</v>
      </c>
      <c r="ES201" s="62">
        <f t="shared" si="2333"/>
        <v>269097.65999999997</v>
      </c>
      <c r="ET201" s="62">
        <f t="shared" si="2333"/>
        <v>262649.78999999998</v>
      </c>
      <c r="EU201" s="62">
        <f t="shared" si="2333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91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 t="shared" si="2339"/>
        <v>1</v>
      </c>
      <c r="FS201" s="120" t="b">
        <f t="shared" si="2340"/>
        <v>1</v>
      </c>
      <c r="FT201" s="120" t="b">
        <f t="shared" si="2341"/>
        <v>1</v>
      </c>
      <c r="FU201" s="120" t="b">
        <f t="shared" si="2342"/>
        <v>1</v>
      </c>
      <c r="FV201" s="120" t="b">
        <f t="shared" si="2343"/>
        <v>1</v>
      </c>
      <c r="FW201" s="104" t="b">
        <f t="shared" si="2392"/>
        <v>0</v>
      </c>
      <c r="FX201" s="120" t="b">
        <f t="shared" si="2393"/>
        <v>1</v>
      </c>
      <c r="FY201" s="104" t="s">
        <v>368</v>
      </c>
      <c r="FZ201" s="104" t="b">
        <f t="shared" si="2394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95"/>
        <v>1</v>
      </c>
      <c r="GI201" s="8" t="b">
        <f t="shared" si="2396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44"/>
        <v>больше макс</v>
      </c>
      <c r="Q202" s="95">
        <v>1857</v>
      </c>
      <c r="R202" s="95">
        <f t="shared" si="2345"/>
        <v>334482.84000000003</v>
      </c>
      <c r="S202" s="131">
        <v>2114.25</v>
      </c>
      <c r="T202" s="131">
        <v>380818.71</v>
      </c>
      <c r="U202" s="131">
        <f t="shared" si="2346"/>
        <v>4.5</v>
      </c>
      <c r="V202" s="113">
        <f t="shared" si="2347"/>
        <v>1682.800048828125</v>
      </c>
      <c r="W202" s="113">
        <f t="shared" si="2348"/>
        <v>303105.9447949219</v>
      </c>
      <c r="X202" s="113">
        <f t="shared" si="2349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50"/>
        <v>0</v>
      </c>
      <c r="AF202" s="95">
        <f t="shared" si="2351"/>
        <v>0</v>
      </c>
      <c r="AG202" s="114">
        <v>0</v>
      </c>
      <c r="AH202" s="95">
        <f t="shared" si="2352"/>
        <v>1682.800048828125</v>
      </c>
      <c r="AI202" s="114">
        <f t="shared" si="2353"/>
        <v>303105.9447949219</v>
      </c>
      <c r="AJ202" s="133">
        <f t="shared" si="2354"/>
        <v>52</v>
      </c>
      <c r="AK202" s="133">
        <f t="shared" si="2355"/>
        <v>314</v>
      </c>
      <c r="AL202" s="133">
        <f t="shared" si="2356"/>
        <v>423</v>
      </c>
      <c r="AM202" s="133">
        <f t="shared" si="2357"/>
        <v>1415.29</v>
      </c>
      <c r="AN202" s="133">
        <f t="shared" si="2358"/>
        <v>268.89542072649419</v>
      </c>
      <c r="AO202" s="133" t="str">
        <f t="shared" si="2359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60"/>
        <v>0-08</v>
      </c>
      <c r="AW202" s="117">
        <f t="shared" si="2361"/>
        <v>303105.9447949219</v>
      </c>
      <c r="AX202" s="14"/>
      <c r="AY202" s="25">
        <f t="shared" si="2362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63"/>
        <v>0</v>
      </c>
      <c r="BG202" s="32">
        <v>0</v>
      </c>
      <c r="BH202" s="32">
        <f t="shared" si="2364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65"/>
        <v>235.88166666666666</v>
      </c>
      <c r="BR202" s="95">
        <f t="shared" si="2366"/>
        <v>1467.95</v>
      </c>
      <c r="BS202" s="133">
        <f t="shared" si="2334"/>
        <v>1294.78</v>
      </c>
      <c r="BT202" s="133">
        <f t="shared" si="2334"/>
        <v>1217.92</v>
      </c>
      <c r="BU202" s="133">
        <f t="shared" si="2334"/>
        <v>897.11000000000013</v>
      </c>
      <c r="BV202" s="133">
        <f t="shared" si="2334"/>
        <v>672.82000000000016</v>
      </c>
      <c r="BW202" s="133">
        <f t="shared" si="2334"/>
        <v>441.71000000000015</v>
      </c>
      <c r="BX202" s="133">
        <f t="shared" si="2367"/>
        <v>205.82833333333349</v>
      </c>
      <c r="BY202" s="133">
        <f t="shared" si="2367"/>
        <v>-30.053333333333171</v>
      </c>
      <c r="BZ202" s="133">
        <f t="shared" si="2367"/>
        <v>-265.93499999999983</v>
      </c>
      <c r="CA202" s="133">
        <f t="shared" si="2367"/>
        <v>-501.81666666666649</v>
      </c>
      <c r="CB202" s="133">
        <f t="shared" si="2367"/>
        <v>-737.69833333333315</v>
      </c>
      <c r="CC202" s="133">
        <f t="shared" si="2367"/>
        <v>-973.57999999999981</v>
      </c>
      <c r="CD202" s="133">
        <f t="shared" si="2367"/>
        <v>-1209.4616666666666</v>
      </c>
      <c r="CE202" s="133">
        <f t="shared" si="2367"/>
        <v>-1445.3433333333332</v>
      </c>
      <c r="CF202" s="133">
        <f t="shared" si="2367"/>
        <v>-1681.2249999999999</v>
      </c>
      <c r="CG202" s="133">
        <f t="shared" si="2367"/>
        <v>-1917.1066666666666</v>
      </c>
      <c r="CH202" s="133">
        <f t="shared" si="2367"/>
        <v>-2152.9883333333332</v>
      </c>
      <c r="CI202" s="133">
        <f t="shared" si="2367"/>
        <v>-2388.87</v>
      </c>
      <c r="CJ202" s="133">
        <f t="shared" si="2367"/>
        <v>-2624.7516666666666</v>
      </c>
      <c r="CK202" s="133">
        <f t="shared" si="2367"/>
        <v>-2860.6333333333332</v>
      </c>
      <c r="CL202" s="133">
        <f t="shared" si="2367"/>
        <v>-3096.5149999999999</v>
      </c>
      <c r="CM202" s="133">
        <f t="shared" si="2367"/>
        <v>-3332.3966666666665</v>
      </c>
      <c r="CN202" s="133">
        <f t="shared" si="2367"/>
        <v>-3568.2783333333332</v>
      </c>
      <c r="CO202" s="133">
        <f t="shared" si="2367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68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35"/>
        <v>0</v>
      </c>
      <c r="DB202" s="4">
        <f t="shared" si="2336"/>
        <v>0</v>
      </c>
      <c r="DC202" s="4">
        <f t="shared" si="2337"/>
        <v>0</v>
      </c>
      <c r="DD202" s="136">
        <f t="shared" si="2338"/>
        <v>0</v>
      </c>
      <c r="DE202" s="31">
        <v>0</v>
      </c>
      <c r="DF202" s="31">
        <v>45</v>
      </c>
      <c r="DG202" s="31">
        <v>0</v>
      </c>
      <c r="DH202" s="48">
        <f t="shared" si="2369"/>
        <v>0</v>
      </c>
      <c r="DI202" s="62">
        <v>2199.0709999999999</v>
      </c>
      <c r="DJ202" s="62">
        <v>396107.00800000003</v>
      </c>
      <c r="DK202" s="48">
        <f t="shared" si="2370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71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72"/>
        <v>4.5</v>
      </c>
      <c r="DV202" s="62">
        <v>56.75</v>
      </c>
      <c r="DW202" s="62">
        <v>10222.074060875195</v>
      </c>
      <c r="DX202" s="62">
        <f t="shared" si="2373"/>
        <v>583.57500000000005</v>
      </c>
      <c r="DY202" s="62">
        <f t="shared" si="2374"/>
        <v>105113.52900000001</v>
      </c>
      <c r="DZ202" s="48">
        <f t="shared" si="2375"/>
        <v>1.5</v>
      </c>
      <c r="EA202" s="62">
        <f t="shared" si="2376"/>
        <v>259.755</v>
      </c>
      <c r="EB202" s="62">
        <f t="shared" si="2377"/>
        <v>46787.070599999999</v>
      </c>
      <c r="EC202" s="48">
        <f t="shared" si="2378"/>
        <v>1.5</v>
      </c>
      <c r="ED202" s="62">
        <f t="shared" si="2379"/>
        <v>115.28999999999999</v>
      </c>
      <c r="EE202" s="62">
        <f t="shared" si="2380"/>
        <v>20766.034799999998</v>
      </c>
      <c r="EF202" s="48">
        <f t="shared" si="2381"/>
        <v>1.5</v>
      </c>
      <c r="EG202" s="62">
        <f t="shared" si="2382"/>
        <v>481.21500000000003</v>
      </c>
      <c r="EH202" s="62">
        <f t="shared" si="2383"/>
        <v>86676.445800000001</v>
      </c>
      <c r="EI202" s="48">
        <f t="shared" si="2384"/>
        <v>1.5</v>
      </c>
      <c r="EJ202" s="62">
        <f t="shared" si="2385"/>
        <v>336.435</v>
      </c>
      <c r="EK202" s="62">
        <f t="shared" si="2386"/>
        <v>60598.672200000001</v>
      </c>
      <c r="EL202" s="48">
        <f t="shared" si="2387"/>
        <v>1.5</v>
      </c>
      <c r="EM202" s="62">
        <f t="shared" si="2388"/>
        <v>346.66500000000002</v>
      </c>
      <c r="EN202" s="62">
        <f t="shared" si="2389"/>
        <v>62441.299800000008</v>
      </c>
      <c r="EO202" s="48">
        <f t="shared" si="2390"/>
        <v>1.5</v>
      </c>
      <c r="EP202" s="62">
        <f t="shared" si="2332"/>
        <v>70075.686000000002</v>
      </c>
      <c r="EQ202" s="62">
        <f t="shared" si="2332"/>
        <v>31191.380399999998</v>
      </c>
      <c r="ER202" s="62">
        <f t="shared" si="2332"/>
        <v>13844.0232</v>
      </c>
      <c r="ES202" s="62">
        <f t="shared" si="2333"/>
        <v>57784.297200000001</v>
      </c>
      <c r="ET202" s="62">
        <f t="shared" si="2333"/>
        <v>40399.114800000003</v>
      </c>
      <c r="EU202" s="62">
        <f t="shared" si="2333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91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 t="shared" si="2339"/>
        <v>1</v>
      </c>
      <c r="FS202" s="103" t="b">
        <f t="shared" si="2340"/>
        <v>1</v>
      </c>
      <c r="FT202" s="103" t="b">
        <f t="shared" si="2341"/>
        <v>0</v>
      </c>
      <c r="FU202" s="103" t="b">
        <f t="shared" si="2342"/>
        <v>0</v>
      </c>
      <c r="FV202" s="103" t="b">
        <f t="shared" si="2343"/>
        <v>1</v>
      </c>
      <c r="FW202" s="104" t="b">
        <f t="shared" si="2392"/>
        <v>0</v>
      </c>
      <c r="FX202" s="120" t="b">
        <f t="shared" si="2393"/>
        <v>1</v>
      </c>
      <c r="FY202" s="104" t="s">
        <v>491</v>
      </c>
      <c r="FZ202" s="104" t="b">
        <f t="shared" si="2394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95"/>
        <v>1</v>
      </c>
      <c r="GI202" s="8" t="b">
        <f t="shared" si="2396"/>
        <v>0</v>
      </c>
      <c r="GJ202" s="31" t="s">
        <v>203</v>
      </c>
    </row>
    <row r="203" spans="1:192" hidden="1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44"/>
        <v>меньше мин</v>
      </c>
      <c r="Q203" s="95">
        <v>8412</v>
      </c>
      <c r="R203" s="95">
        <f t="shared" si="2345"/>
        <v>465856.56</v>
      </c>
      <c r="S203" s="131">
        <v>6805</v>
      </c>
      <c r="T203" s="131">
        <v>376792.85</v>
      </c>
      <c r="U203" s="131">
        <f t="shared" si="2346"/>
        <v>27</v>
      </c>
      <c r="V203" s="113">
        <f t="shared" si="2347"/>
        <v>7420.2940000556409</v>
      </c>
      <c r="W203" s="113">
        <f t="shared" si="2348"/>
        <v>410935.8817230814</v>
      </c>
      <c r="X203" s="113">
        <f t="shared" si="2349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50"/>
        <v>0</v>
      </c>
      <c r="AF203" s="95">
        <f t="shared" si="2351"/>
        <v>0</v>
      </c>
      <c r="AG203" s="114">
        <v>0</v>
      </c>
      <c r="AH203" s="95">
        <f t="shared" si="2352"/>
        <v>7420.2940000556409</v>
      </c>
      <c r="AI203" s="114">
        <f t="shared" si="2353"/>
        <v>410935.8817230814</v>
      </c>
      <c r="AJ203" s="133">
        <f t="shared" si="2354"/>
        <v>11396</v>
      </c>
      <c r="AK203" s="133">
        <f t="shared" si="2355"/>
        <v>31990</v>
      </c>
      <c r="AL203" s="133">
        <f t="shared" si="2356"/>
        <v>52373</v>
      </c>
      <c r="AM203" s="133">
        <f t="shared" si="2357"/>
        <v>107189.98000000001</v>
      </c>
      <c r="AN203" s="133">
        <f t="shared" si="2358"/>
        <v>11.427374088510884</v>
      </c>
      <c r="AO203" s="133" t="str">
        <f t="shared" si="2359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60"/>
        <v>0-01</v>
      </c>
      <c r="AW203" s="117">
        <f t="shared" si="2361"/>
        <v>0</v>
      </c>
      <c r="AX203" s="14"/>
      <c r="AY203" s="25">
        <f t="shared" si="2362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63"/>
        <v>0</v>
      </c>
      <c r="BG203" s="32">
        <v>0</v>
      </c>
      <c r="BH203" s="32">
        <f t="shared" si="2364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65"/>
        <v>17864.99666666667</v>
      </c>
      <c r="BR203" s="95">
        <f t="shared" si="2366"/>
        <v>-4589.5400000000009</v>
      </c>
      <c r="BS203" s="133">
        <f t="shared" si="2334"/>
        <v>-23672.33</v>
      </c>
      <c r="BT203" s="133">
        <f t="shared" si="2334"/>
        <v>-42166.39</v>
      </c>
      <c r="BU203" s="133">
        <f t="shared" si="2334"/>
        <v>-61027.19</v>
      </c>
      <c r="BV203" s="133">
        <f t="shared" si="2334"/>
        <v>-80485.19</v>
      </c>
      <c r="BW203" s="133">
        <f t="shared" si="2334"/>
        <v>-98777.98000000001</v>
      </c>
      <c r="BX203" s="133">
        <f t="shared" ref="BX203:CO203" si="2397">BW203-$BQ203</f>
        <v>-116642.97666666668</v>
      </c>
      <c r="BY203" s="133">
        <f t="shared" si="2397"/>
        <v>-134507.97333333336</v>
      </c>
      <c r="BZ203" s="133">
        <f t="shared" si="2397"/>
        <v>-152372.97000000003</v>
      </c>
      <c r="CA203" s="133">
        <f t="shared" si="2397"/>
        <v>-170237.9666666667</v>
      </c>
      <c r="CB203" s="133">
        <f t="shared" si="2397"/>
        <v>-188102.96333333338</v>
      </c>
      <c r="CC203" s="133">
        <f t="shared" si="2397"/>
        <v>-205967.96000000005</v>
      </c>
      <c r="CD203" s="133">
        <f t="shared" si="2397"/>
        <v>-223832.95666666672</v>
      </c>
      <c r="CE203" s="133">
        <f t="shared" si="2397"/>
        <v>-241697.9533333334</v>
      </c>
      <c r="CF203" s="133">
        <f t="shared" si="2397"/>
        <v>-259562.95000000007</v>
      </c>
      <c r="CG203" s="133">
        <f t="shared" si="2397"/>
        <v>-277427.94666666671</v>
      </c>
      <c r="CH203" s="133">
        <f t="shared" si="2397"/>
        <v>-295292.94333333336</v>
      </c>
      <c r="CI203" s="133">
        <f t="shared" si="2397"/>
        <v>-313157.94</v>
      </c>
      <c r="CJ203" s="133">
        <f t="shared" si="2397"/>
        <v>-331022.93666666665</v>
      </c>
      <c r="CK203" s="133">
        <f t="shared" si="2397"/>
        <v>-348887.93333333329</v>
      </c>
      <c r="CL203" s="133">
        <f t="shared" si="2397"/>
        <v>-366752.92999999993</v>
      </c>
      <c r="CM203" s="133">
        <f t="shared" si="2397"/>
        <v>-384617.92666666658</v>
      </c>
      <c r="CN203" s="133">
        <f t="shared" si="2397"/>
        <v>-402482.92333333322</v>
      </c>
      <c r="CO203" s="133">
        <f t="shared" si="2397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68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35"/>
        <v>0</v>
      </c>
      <c r="DB203" s="4">
        <f t="shared" si="2336"/>
        <v>0</v>
      </c>
      <c r="DC203" s="4">
        <f t="shared" si="2337"/>
        <v>0</v>
      </c>
      <c r="DD203" s="136">
        <f t="shared" si="2338"/>
        <v>0</v>
      </c>
      <c r="DE203" s="31">
        <v>0</v>
      </c>
      <c r="DF203" s="31">
        <v>30</v>
      </c>
      <c r="DG203" s="31">
        <v>5720</v>
      </c>
      <c r="DH203" s="48">
        <f t="shared" si="2369"/>
        <v>22</v>
      </c>
      <c r="DI203" s="62">
        <v>11263.192999999999</v>
      </c>
      <c r="DJ203" s="62">
        <v>623017.23900000006</v>
      </c>
      <c r="DK203" s="48">
        <f t="shared" si="2370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71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72"/>
        <v>34</v>
      </c>
      <c r="DV203" s="62">
        <v>7197.8680000000004</v>
      </c>
      <c r="DW203" s="62">
        <v>397899.34118353354</v>
      </c>
      <c r="DX203" s="62">
        <f t="shared" si="2373"/>
        <v>13001.54</v>
      </c>
      <c r="DY203" s="62">
        <f t="shared" si="2374"/>
        <v>720025.28520000004</v>
      </c>
      <c r="DZ203" s="48">
        <f t="shared" si="2375"/>
        <v>51</v>
      </c>
      <c r="EA203" s="62">
        <f t="shared" si="2376"/>
        <v>19082.79</v>
      </c>
      <c r="EB203" s="62">
        <f t="shared" si="2377"/>
        <v>1056804.9102</v>
      </c>
      <c r="EC203" s="48">
        <f t="shared" si="2378"/>
        <v>74</v>
      </c>
      <c r="ED203" s="62">
        <f t="shared" si="2379"/>
        <v>18494.060000000001</v>
      </c>
      <c r="EE203" s="62">
        <f t="shared" si="2380"/>
        <v>1024201.0428000002</v>
      </c>
      <c r="EF203" s="48">
        <f t="shared" si="2381"/>
        <v>72</v>
      </c>
      <c r="EG203" s="62">
        <f t="shared" si="2382"/>
        <v>18860.8</v>
      </c>
      <c r="EH203" s="62">
        <f t="shared" si="2383"/>
        <v>1044511.1040000001</v>
      </c>
      <c r="EI203" s="48">
        <f t="shared" si="2384"/>
        <v>73</v>
      </c>
      <c r="EJ203" s="62">
        <f t="shared" si="2385"/>
        <v>19458</v>
      </c>
      <c r="EK203" s="62">
        <f t="shared" si="2386"/>
        <v>1077584.04</v>
      </c>
      <c r="EL203" s="48">
        <f t="shared" si="2387"/>
        <v>75</v>
      </c>
      <c r="EM203" s="62">
        <f t="shared" si="2388"/>
        <v>18292.79</v>
      </c>
      <c r="EN203" s="62">
        <f t="shared" si="2389"/>
        <v>1013054.7102000001</v>
      </c>
      <c r="EO203" s="48">
        <f t="shared" si="2390"/>
        <v>71</v>
      </c>
      <c r="EP203" s="62">
        <f t="shared" si="2332"/>
        <v>720025.28520000004</v>
      </c>
      <c r="EQ203" s="62">
        <f t="shared" si="2332"/>
        <v>1056804.9102</v>
      </c>
      <c r="ER203" s="62">
        <f t="shared" si="2332"/>
        <v>1024201.0428000002</v>
      </c>
      <c r="ES203" s="62">
        <f t="shared" si="2333"/>
        <v>1044511.1040000001</v>
      </c>
      <c r="ET203" s="62">
        <f t="shared" si="2333"/>
        <v>1077584.04</v>
      </c>
      <c r="EU203" s="62">
        <f t="shared" si="2333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91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 t="shared" si="2339"/>
        <v>1</v>
      </c>
      <c r="FS203" s="103" t="b">
        <f t="shared" si="2340"/>
        <v>1</v>
      </c>
      <c r="FT203" s="103" t="b">
        <f t="shared" si="2341"/>
        <v>0</v>
      </c>
      <c r="FU203" s="103" t="b">
        <f t="shared" si="2342"/>
        <v>0</v>
      </c>
      <c r="FV203" s="103" t="b">
        <f t="shared" si="2343"/>
        <v>1</v>
      </c>
      <c r="FW203" s="104" t="b">
        <f t="shared" si="2392"/>
        <v>0</v>
      </c>
      <c r="FX203" s="120" t="b">
        <f t="shared" si="2393"/>
        <v>1</v>
      </c>
      <c r="FY203" s="104" t="s">
        <v>368</v>
      </c>
      <c r="FZ203" s="104" t="b">
        <f t="shared" si="2394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95"/>
        <v>1</v>
      </c>
      <c r="GI203" s="8" t="b">
        <f t="shared" si="2396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44"/>
        <v>нет минмакс</v>
      </c>
      <c r="Q204" s="95">
        <v>209</v>
      </c>
      <c r="R204" s="95">
        <f t="shared" si="2345"/>
        <v>323017.86</v>
      </c>
      <c r="S204" s="131">
        <v>234</v>
      </c>
      <c r="T204" s="131">
        <v>361656.36</v>
      </c>
      <c r="U204" s="131">
        <f t="shared" si="2346"/>
        <v>0</v>
      </c>
      <c r="V204" s="113">
        <f t="shared" si="2347"/>
        <v>209</v>
      </c>
      <c r="W204" s="113">
        <f t="shared" si="2348"/>
        <v>323017.86</v>
      </c>
      <c r="X204" s="113">
        <f t="shared" si="2349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50"/>
        <v>0</v>
      </c>
      <c r="AF204" s="95">
        <f t="shared" si="2351"/>
        <v>0</v>
      </c>
      <c r="AG204" s="114">
        <v>0</v>
      </c>
      <c r="AH204" s="95">
        <f t="shared" si="2352"/>
        <v>209</v>
      </c>
      <c r="AI204" s="114">
        <f t="shared" si="2353"/>
        <v>323017.86</v>
      </c>
      <c r="AJ204" s="133">
        <f t="shared" si="2354"/>
        <v>25</v>
      </c>
      <c r="AK204" s="133">
        <f t="shared" si="2355"/>
        <v>25</v>
      </c>
      <c r="AL204" s="133">
        <f t="shared" si="2356"/>
        <v>25</v>
      </c>
      <c r="AM204" s="133">
        <f t="shared" si="2357"/>
        <v>0</v>
      </c>
      <c r="AN204" s="133" t="str">
        <f t="shared" si="2358"/>
        <v>нет оборота</v>
      </c>
      <c r="AO204" s="133" t="str">
        <f t="shared" si="2359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60"/>
        <v>Нет планов</v>
      </c>
      <c r="AW204" s="117">
        <f t="shared" si="2361"/>
        <v>323017.86</v>
      </c>
      <c r="AX204" s="14">
        <f>MONTH(BC204)-6</f>
        <v>1</v>
      </c>
      <c r="AY204" s="25">
        <f t="shared" si="2362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63"/>
        <v>0</v>
      </c>
      <c r="BG204" s="32">
        <v>0</v>
      </c>
      <c r="BH204" s="32">
        <f t="shared" si="2364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65"/>
        <v>0</v>
      </c>
      <c r="BR204" s="95">
        <f t="shared" si="2366"/>
        <v>209</v>
      </c>
      <c r="BS204" s="133">
        <f t="shared" si="2334"/>
        <v>209</v>
      </c>
      <c r="BT204" s="133">
        <f t="shared" si="2334"/>
        <v>209</v>
      </c>
      <c r="BU204" s="133">
        <f t="shared" si="2334"/>
        <v>209</v>
      </c>
      <c r="BV204" s="133">
        <f t="shared" si="2334"/>
        <v>209</v>
      </c>
      <c r="BW204" s="133">
        <f t="shared" si="2334"/>
        <v>209</v>
      </c>
      <c r="BX204" s="133">
        <f t="shared" ref="BX204:CO207" si="2398">BW204-$BQ204</f>
        <v>209</v>
      </c>
      <c r="BY204" s="133">
        <f t="shared" si="2398"/>
        <v>209</v>
      </c>
      <c r="BZ204" s="133">
        <f t="shared" si="2398"/>
        <v>209</v>
      </c>
      <c r="CA204" s="133">
        <f t="shared" si="2398"/>
        <v>209</v>
      </c>
      <c r="CB204" s="133">
        <f t="shared" si="2398"/>
        <v>209</v>
      </c>
      <c r="CC204" s="133">
        <f t="shared" si="2398"/>
        <v>209</v>
      </c>
      <c r="CD204" s="133">
        <f t="shared" si="2398"/>
        <v>209</v>
      </c>
      <c r="CE204" s="133">
        <f t="shared" si="2398"/>
        <v>209</v>
      </c>
      <c r="CF204" s="133">
        <f t="shared" si="2398"/>
        <v>209</v>
      </c>
      <c r="CG204" s="133">
        <f t="shared" si="2398"/>
        <v>209</v>
      </c>
      <c r="CH204" s="133">
        <f t="shared" si="2398"/>
        <v>209</v>
      </c>
      <c r="CI204" s="133">
        <f t="shared" si="2398"/>
        <v>209</v>
      </c>
      <c r="CJ204" s="133">
        <f t="shared" si="2398"/>
        <v>209</v>
      </c>
      <c r="CK204" s="133">
        <f t="shared" si="2398"/>
        <v>209</v>
      </c>
      <c r="CL204" s="133">
        <f t="shared" si="2398"/>
        <v>209</v>
      </c>
      <c r="CM204" s="133">
        <f t="shared" si="2398"/>
        <v>209</v>
      </c>
      <c r="CN204" s="133">
        <f t="shared" si="2398"/>
        <v>209</v>
      </c>
      <c r="CO204" s="133">
        <f t="shared" si="2398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68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35"/>
        <v>0</v>
      </c>
      <c r="DB204" s="4">
        <f t="shared" si="2336"/>
        <v>0</v>
      </c>
      <c r="DC204" s="4">
        <f t="shared" si="2337"/>
        <v>0</v>
      </c>
      <c r="DD204" s="136">
        <f t="shared" si="2338"/>
        <v>0</v>
      </c>
      <c r="DE204" s="31">
        <v>0</v>
      </c>
      <c r="DF204" s="31">
        <v>45</v>
      </c>
      <c r="DG204" s="31">
        <v>0</v>
      </c>
      <c r="DH204" s="48">
        <f t="shared" si="2369"/>
        <v>0</v>
      </c>
      <c r="DI204" s="62">
        <v>234</v>
      </c>
      <c r="DJ204" s="62">
        <v>361657.2</v>
      </c>
      <c r="DK204" s="48">
        <f t="shared" si="2370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71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72"/>
        <v>0</v>
      </c>
      <c r="DV204" s="62">
        <v>0</v>
      </c>
      <c r="DW204" s="62">
        <v>0</v>
      </c>
      <c r="DX204" s="62">
        <f t="shared" si="2373"/>
        <v>0</v>
      </c>
      <c r="DY204" s="62">
        <f t="shared" si="2374"/>
        <v>0</v>
      </c>
      <c r="DZ204" s="48">
        <f t="shared" si="2375"/>
        <v>0</v>
      </c>
      <c r="EA204" s="62">
        <f t="shared" si="2376"/>
        <v>0</v>
      </c>
      <c r="EB204" s="62">
        <f t="shared" si="2377"/>
        <v>0</v>
      </c>
      <c r="EC204" s="48">
        <f t="shared" si="2378"/>
        <v>0</v>
      </c>
      <c r="ED204" s="62">
        <f t="shared" si="2379"/>
        <v>0</v>
      </c>
      <c r="EE204" s="62">
        <f t="shared" si="2380"/>
        <v>0</v>
      </c>
      <c r="EF204" s="48">
        <f t="shared" si="2381"/>
        <v>0</v>
      </c>
      <c r="EG204" s="62">
        <f t="shared" si="2382"/>
        <v>0</v>
      </c>
      <c r="EH204" s="62">
        <f t="shared" si="2383"/>
        <v>0</v>
      </c>
      <c r="EI204" s="48">
        <f t="shared" si="2384"/>
        <v>0</v>
      </c>
      <c r="EJ204" s="62">
        <f t="shared" si="2385"/>
        <v>0</v>
      </c>
      <c r="EK204" s="62">
        <f t="shared" si="2386"/>
        <v>0</v>
      </c>
      <c r="EL204" s="48">
        <f t="shared" si="2387"/>
        <v>0</v>
      </c>
      <c r="EM204" s="62">
        <f t="shared" si="2388"/>
        <v>0</v>
      </c>
      <c r="EN204" s="62">
        <f t="shared" si="2389"/>
        <v>0</v>
      </c>
      <c r="EO204" s="48">
        <f t="shared" si="2390"/>
        <v>0</v>
      </c>
      <c r="EP204" s="62">
        <f t="shared" ref="EP204:EU210" si="2399">BK204*$FH204</f>
        <v>0</v>
      </c>
      <c r="EQ204" s="62">
        <f t="shared" si="2399"/>
        <v>0</v>
      </c>
      <c r="ER204" s="62">
        <f t="shared" si="2399"/>
        <v>0</v>
      </c>
      <c r="ES204" s="62">
        <f t="shared" si="2399"/>
        <v>0</v>
      </c>
      <c r="ET204" s="62">
        <f t="shared" si="2399"/>
        <v>0</v>
      </c>
      <c r="EU204" s="62">
        <f t="shared" si="2399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91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 t="shared" si="2339"/>
        <v>1</v>
      </c>
      <c r="FS204" s="103" t="b">
        <f t="shared" si="2340"/>
        <v>1</v>
      </c>
      <c r="FT204" s="103" t="b">
        <f t="shared" si="2341"/>
        <v>1</v>
      </c>
      <c r="FU204" s="103" t="b">
        <f t="shared" si="2342"/>
        <v>0</v>
      </c>
      <c r="FV204" s="103" t="b">
        <f t="shared" si="2343"/>
        <v>1</v>
      </c>
      <c r="FW204" s="104" t="b">
        <f t="shared" si="2392"/>
        <v>0</v>
      </c>
      <c r="FX204" s="120" t="b">
        <f t="shared" si="2393"/>
        <v>1</v>
      </c>
      <c r="FY204" s="104" t="s">
        <v>491</v>
      </c>
      <c r="FZ204" s="104" t="b">
        <f t="shared" si="2394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95"/>
        <v>1</v>
      </c>
      <c r="GI204" s="8" t="b">
        <f t="shared" si="2396"/>
        <v>0</v>
      </c>
      <c r="GJ204" s="31" t="s">
        <v>203</v>
      </c>
    </row>
    <row r="205" spans="1:192" hidden="1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44"/>
        <v>нет минмакс</v>
      </c>
      <c r="Q205" s="95">
        <v>65000</v>
      </c>
      <c r="R205" s="95">
        <f t="shared" si="2345"/>
        <v>232050</v>
      </c>
      <c r="S205" s="114">
        <v>99660</v>
      </c>
      <c r="T205" s="114">
        <v>360769.2</v>
      </c>
      <c r="U205" s="131">
        <f t="shared" si="2346"/>
        <v>10</v>
      </c>
      <c r="V205" s="115">
        <f t="shared" si="2347"/>
        <v>60000</v>
      </c>
      <c r="W205" s="115">
        <f t="shared" si="2348"/>
        <v>214200</v>
      </c>
      <c r="X205" s="115">
        <f t="shared" si="2349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50"/>
        <v>0</v>
      </c>
      <c r="AF205" s="95">
        <f t="shared" si="2351"/>
        <v>0</v>
      </c>
      <c r="AG205" s="114">
        <v>0</v>
      </c>
      <c r="AH205" s="95">
        <f t="shared" si="2352"/>
        <v>60000</v>
      </c>
      <c r="AI205" s="114">
        <f t="shared" si="2353"/>
        <v>214200</v>
      </c>
      <c r="AJ205" s="114">
        <f t="shared" si="2354"/>
        <v>47284</v>
      </c>
      <c r="AK205" s="114">
        <f t="shared" si="2355"/>
        <v>160544</v>
      </c>
      <c r="AL205" s="114">
        <f t="shared" si="2356"/>
        <v>220373</v>
      </c>
      <c r="AM205" s="114">
        <f t="shared" si="2357"/>
        <v>365559</v>
      </c>
      <c r="AN205" s="133">
        <f t="shared" si="2358"/>
        <v>49.072242784338506</v>
      </c>
      <c r="AO205" s="133" t="str">
        <f t="shared" si="2359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60"/>
        <v>0-02</v>
      </c>
      <c r="AW205" s="126">
        <f t="shared" si="2361"/>
        <v>0</v>
      </c>
      <c r="AX205" s="138"/>
      <c r="AY205" s="115">
        <f t="shared" si="2362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63"/>
        <v>0</v>
      </c>
      <c r="BG205" s="32">
        <v>0</v>
      </c>
      <c r="BH205" s="32">
        <f t="shared" si="2364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65"/>
        <v>60926.5</v>
      </c>
      <c r="BR205" s="95">
        <f t="shared" si="2366"/>
        <v>27264</v>
      </c>
      <c r="BS205" s="133">
        <f t="shared" ref="BS205:BW210" si="2400">BR205-BL205</f>
        <v>-28333</v>
      </c>
      <c r="BT205" s="133">
        <f t="shared" si="2400"/>
        <v>-93860</v>
      </c>
      <c r="BU205" s="133">
        <f t="shared" si="2400"/>
        <v>-157133</v>
      </c>
      <c r="BV205" s="133">
        <f t="shared" si="2400"/>
        <v>-230675</v>
      </c>
      <c r="BW205" s="133">
        <f t="shared" si="2400"/>
        <v>-300559</v>
      </c>
      <c r="BX205" s="133">
        <f t="shared" si="2398"/>
        <v>-361485.5</v>
      </c>
      <c r="BY205" s="133">
        <f t="shared" si="2398"/>
        <v>-422412</v>
      </c>
      <c r="BZ205" s="133">
        <f t="shared" si="2398"/>
        <v>-483338.5</v>
      </c>
      <c r="CA205" s="133">
        <f t="shared" si="2398"/>
        <v>-544265</v>
      </c>
      <c r="CB205" s="133">
        <f t="shared" si="2398"/>
        <v>-605191.5</v>
      </c>
      <c r="CC205" s="133">
        <f t="shared" si="2398"/>
        <v>-666118</v>
      </c>
      <c r="CD205" s="133">
        <f t="shared" si="2398"/>
        <v>-727044.5</v>
      </c>
      <c r="CE205" s="133">
        <f t="shared" si="2398"/>
        <v>-787971</v>
      </c>
      <c r="CF205" s="133">
        <f t="shared" si="2398"/>
        <v>-848897.5</v>
      </c>
      <c r="CG205" s="133">
        <f t="shared" si="2398"/>
        <v>-909824</v>
      </c>
      <c r="CH205" s="133">
        <f t="shared" si="2398"/>
        <v>-970750.5</v>
      </c>
      <c r="CI205" s="133">
        <f t="shared" si="2398"/>
        <v>-1031677</v>
      </c>
      <c r="CJ205" s="133">
        <f t="shared" si="2398"/>
        <v>-1092603.5</v>
      </c>
      <c r="CK205" s="133">
        <f t="shared" si="2398"/>
        <v>-1153530</v>
      </c>
      <c r="CL205" s="133">
        <f t="shared" si="2398"/>
        <v>-1214456.5</v>
      </c>
      <c r="CM205" s="133">
        <f t="shared" si="2398"/>
        <v>-1275383</v>
      </c>
      <c r="CN205" s="133">
        <f t="shared" si="2398"/>
        <v>-1336309.5</v>
      </c>
      <c r="CO205" s="133">
        <f t="shared" si="2398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68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35"/>
        <v>0</v>
      </c>
      <c r="DB205" s="4">
        <f t="shared" si="2336"/>
        <v>0</v>
      </c>
      <c r="DC205" s="4">
        <f t="shared" si="2337"/>
        <v>0</v>
      </c>
      <c r="DD205" s="136">
        <f t="shared" si="2338"/>
        <v>0</v>
      </c>
      <c r="DE205" s="31">
        <v>0</v>
      </c>
      <c r="DG205" s="31">
        <v>0</v>
      </c>
      <c r="DH205" s="48">
        <f t="shared" si="2369"/>
        <v>0</v>
      </c>
      <c r="DI205" s="62">
        <v>33450.71</v>
      </c>
      <c r="DJ205" s="62">
        <v>118460.89899999999</v>
      </c>
      <c r="DK205" s="48">
        <f t="shared" si="2370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71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72"/>
        <v>8</v>
      </c>
      <c r="DV205" s="62">
        <v>57712</v>
      </c>
      <c r="DW205" s="62">
        <v>205569.97563435984</v>
      </c>
      <c r="DX205" s="62">
        <f t="shared" si="2373"/>
        <v>0</v>
      </c>
      <c r="DY205" s="62">
        <f t="shared" si="2374"/>
        <v>0</v>
      </c>
      <c r="DZ205" s="48">
        <f t="shared" si="2375"/>
        <v>0</v>
      </c>
      <c r="EA205" s="62">
        <f t="shared" si="2376"/>
        <v>0</v>
      </c>
      <c r="EB205" s="62">
        <f t="shared" si="2377"/>
        <v>0</v>
      </c>
      <c r="EC205" s="48">
        <f t="shared" si="2378"/>
        <v>0</v>
      </c>
      <c r="ED205" s="62">
        <f t="shared" si="2379"/>
        <v>0</v>
      </c>
      <c r="EE205" s="62">
        <f t="shared" si="2380"/>
        <v>0</v>
      </c>
      <c r="EF205" s="48">
        <f t="shared" si="2381"/>
        <v>0</v>
      </c>
      <c r="EG205" s="62">
        <f t="shared" si="2382"/>
        <v>0</v>
      </c>
      <c r="EH205" s="62">
        <f t="shared" si="2383"/>
        <v>0</v>
      </c>
      <c r="EI205" s="48">
        <f t="shared" si="2384"/>
        <v>0</v>
      </c>
      <c r="EJ205" s="62">
        <f t="shared" si="2385"/>
        <v>0</v>
      </c>
      <c r="EK205" s="62">
        <f t="shared" si="2386"/>
        <v>0</v>
      </c>
      <c r="EL205" s="48">
        <f t="shared" si="2387"/>
        <v>0</v>
      </c>
      <c r="EM205" s="62">
        <f t="shared" si="2388"/>
        <v>0</v>
      </c>
      <c r="EN205" s="62">
        <f t="shared" si="2389"/>
        <v>0</v>
      </c>
      <c r="EO205" s="48">
        <f t="shared" si="2390"/>
        <v>0</v>
      </c>
      <c r="EP205" s="62">
        <f t="shared" si="2399"/>
        <v>134717.51999999999</v>
      </c>
      <c r="EQ205" s="62">
        <f t="shared" si="2399"/>
        <v>198481.28999999998</v>
      </c>
      <c r="ER205" s="62">
        <f t="shared" si="2399"/>
        <v>233931.38999999998</v>
      </c>
      <c r="ES205" s="62">
        <f t="shared" si="2399"/>
        <v>225884.61</v>
      </c>
      <c r="ET205" s="62">
        <f t="shared" si="2399"/>
        <v>262544.94</v>
      </c>
      <c r="EU205" s="62">
        <f t="shared" si="2399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91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 t="shared" si="2339"/>
        <v>1</v>
      </c>
      <c r="FS205" s="120" t="b">
        <f t="shared" si="2340"/>
        <v>1</v>
      </c>
      <c r="FT205" s="120" t="b">
        <f t="shared" si="2341"/>
        <v>1</v>
      </c>
      <c r="FU205" s="120" t="b">
        <f t="shared" si="2342"/>
        <v>1</v>
      </c>
      <c r="FV205" s="120" t="b">
        <f t="shared" si="2343"/>
        <v>1</v>
      </c>
      <c r="FW205" s="104" t="b">
        <f t="shared" si="2392"/>
        <v>0</v>
      </c>
      <c r="FX205" s="120" t="b">
        <f t="shared" si="2393"/>
        <v>1</v>
      </c>
      <c r="FY205" s="104" t="s">
        <v>368</v>
      </c>
      <c r="FZ205" s="104" t="b">
        <f t="shared" si="2394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95"/>
        <v>1</v>
      </c>
      <c r="GI205" s="8" t="b">
        <f t="shared" si="2396"/>
        <v>0</v>
      </c>
      <c r="GJ205" s="31" t="s">
        <v>203</v>
      </c>
    </row>
    <row r="206" spans="1:192" hidden="1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44"/>
        <v>нет минмакс</v>
      </c>
      <c r="Q206" s="95">
        <v>54597</v>
      </c>
      <c r="R206" s="95">
        <f t="shared" si="2345"/>
        <v>671543.10000000009</v>
      </c>
      <c r="S206" s="114">
        <v>27130</v>
      </c>
      <c r="T206" s="114">
        <v>353775.19999999995</v>
      </c>
      <c r="U206" s="131">
        <f t="shared" si="2346"/>
        <v>28</v>
      </c>
      <c r="V206" s="115">
        <f t="shared" si="2347"/>
        <v>45079</v>
      </c>
      <c r="W206" s="115">
        <f t="shared" si="2348"/>
        <v>554471.70000000007</v>
      </c>
      <c r="X206" s="115">
        <f t="shared" si="2349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50"/>
        <v>0</v>
      </c>
      <c r="AF206" s="95">
        <f t="shared" si="2351"/>
        <v>0</v>
      </c>
      <c r="AG206" s="114">
        <v>0</v>
      </c>
      <c r="AH206" s="95">
        <f t="shared" si="2352"/>
        <v>45079</v>
      </c>
      <c r="AI206" s="114">
        <f t="shared" si="2353"/>
        <v>554471.70000000007</v>
      </c>
      <c r="AJ206" s="114">
        <f t="shared" si="2354"/>
        <v>10417</v>
      </c>
      <c r="AK206" s="114">
        <f t="shared" si="2355"/>
        <v>31106</v>
      </c>
      <c r="AL206" s="114">
        <f t="shared" si="2356"/>
        <v>51342</v>
      </c>
      <c r="AM206" s="114">
        <f t="shared" si="2357"/>
        <v>56391</v>
      </c>
      <c r="AN206" s="133">
        <f t="shared" si="2358"/>
        <v>86.59892536042986</v>
      </c>
      <c r="AO206" s="133" t="str">
        <f t="shared" si="2359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60"/>
        <v>0-06</v>
      </c>
      <c r="AW206" s="126">
        <f t="shared" si="2361"/>
        <v>0</v>
      </c>
      <c r="AX206" s="138"/>
      <c r="AY206" s="115">
        <f t="shared" si="2362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63"/>
        <v>0</v>
      </c>
      <c r="BG206" s="32">
        <v>0</v>
      </c>
      <c r="BH206" s="32">
        <f t="shared" si="2364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65"/>
        <v>9398.5</v>
      </c>
      <c r="BR206" s="95">
        <f t="shared" si="2366"/>
        <v>47197</v>
      </c>
      <c r="BS206" s="133">
        <f t="shared" si="2400"/>
        <v>39797</v>
      </c>
      <c r="BT206" s="133">
        <f t="shared" si="2400"/>
        <v>32397</v>
      </c>
      <c r="BU206" s="133">
        <f t="shared" si="2400"/>
        <v>19186</v>
      </c>
      <c r="BV206" s="133">
        <f t="shared" si="2400"/>
        <v>11786</v>
      </c>
      <c r="BW206" s="133">
        <f t="shared" si="2400"/>
        <v>-1794</v>
      </c>
      <c r="BX206" s="133">
        <f t="shared" si="2398"/>
        <v>-11192.5</v>
      </c>
      <c r="BY206" s="133">
        <f t="shared" si="2398"/>
        <v>-20591</v>
      </c>
      <c r="BZ206" s="133">
        <f t="shared" si="2398"/>
        <v>-29989.5</v>
      </c>
      <c r="CA206" s="133">
        <f t="shared" si="2398"/>
        <v>-39388</v>
      </c>
      <c r="CB206" s="133">
        <f t="shared" si="2398"/>
        <v>-48786.5</v>
      </c>
      <c r="CC206" s="133">
        <f t="shared" si="2398"/>
        <v>-58185</v>
      </c>
      <c r="CD206" s="133">
        <f t="shared" si="2398"/>
        <v>-67583.5</v>
      </c>
      <c r="CE206" s="133">
        <f t="shared" si="2398"/>
        <v>-76982</v>
      </c>
      <c r="CF206" s="133">
        <f t="shared" si="2398"/>
        <v>-86380.5</v>
      </c>
      <c r="CG206" s="133">
        <f t="shared" si="2398"/>
        <v>-95779</v>
      </c>
      <c r="CH206" s="133">
        <f t="shared" si="2398"/>
        <v>-105177.5</v>
      </c>
      <c r="CI206" s="133">
        <f t="shared" si="2398"/>
        <v>-114576</v>
      </c>
      <c r="CJ206" s="133">
        <f t="shared" si="2398"/>
        <v>-123974.5</v>
      </c>
      <c r="CK206" s="133">
        <f t="shared" si="2398"/>
        <v>-133373</v>
      </c>
      <c r="CL206" s="133">
        <f t="shared" si="2398"/>
        <v>-142771.5</v>
      </c>
      <c r="CM206" s="133">
        <f t="shared" si="2398"/>
        <v>-152170</v>
      </c>
      <c r="CN206" s="133">
        <f t="shared" si="2398"/>
        <v>-161568.5</v>
      </c>
      <c r="CO206" s="133">
        <f t="shared" si="2398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68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35"/>
        <v>0</v>
      </c>
      <c r="DB206" s="4">
        <f t="shared" si="2336"/>
        <v>0</v>
      </c>
      <c r="DC206" s="4">
        <f t="shared" si="2337"/>
        <v>0</v>
      </c>
      <c r="DD206" s="136">
        <f t="shared" si="2338"/>
        <v>0</v>
      </c>
      <c r="DE206" s="31">
        <v>0</v>
      </c>
      <c r="DG206" s="31">
        <v>0</v>
      </c>
      <c r="DH206" s="48">
        <f t="shared" si="2369"/>
        <v>0</v>
      </c>
      <c r="DI206" s="62">
        <v>7515.5810000000001</v>
      </c>
      <c r="DJ206" s="62">
        <v>99578.982000000004</v>
      </c>
      <c r="DK206" s="48">
        <f t="shared" si="2370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71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72"/>
        <v>33</v>
      </c>
      <c r="DV206" s="62">
        <v>12447</v>
      </c>
      <c r="DW206" s="62">
        <v>163309.29241166409</v>
      </c>
      <c r="DX206" s="62">
        <f t="shared" si="2373"/>
        <v>0</v>
      </c>
      <c r="DY206" s="62">
        <f t="shared" si="2374"/>
        <v>0</v>
      </c>
      <c r="DZ206" s="48">
        <f t="shared" si="2375"/>
        <v>0</v>
      </c>
      <c r="EA206" s="62">
        <f t="shared" si="2376"/>
        <v>0</v>
      </c>
      <c r="EB206" s="62">
        <f t="shared" si="2377"/>
        <v>0</v>
      </c>
      <c r="EC206" s="48">
        <f t="shared" si="2378"/>
        <v>0</v>
      </c>
      <c r="ED206" s="62">
        <f t="shared" si="2379"/>
        <v>0</v>
      </c>
      <c r="EE206" s="62">
        <f t="shared" si="2380"/>
        <v>0</v>
      </c>
      <c r="EF206" s="48">
        <f t="shared" si="2381"/>
        <v>0</v>
      </c>
      <c r="EG206" s="62">
        <f t="shared" si="2382"/>
        <v>0</v>
      </c>
      <c r="EH206" s="62">
        <f t="shared" si="2383"/>
        <v>0</v>
      </c>
      <c r="EI206" s="48">
        <f t="shared" si="2384"/>
        <v>0</v>
      </c>
      <c r="EJ206" s="62">
        <f t="shared" si="2385"/>
        <v>0</v>
      </c>
      <c r="EK206" s="62">
        <f t="shared" si="2386"/>
        <v>0</v>
      </c>
      <c r="EL206" s="48">
        <f t="shared" si="2387"/>
        <v>0</v>
      </c>
      <c r="EM206" s="62">
        <f t="shared" si="2388"/>
        <v>0</v>
      </c>
      <c r="EN206" s="62">
        <f t="shared" si="2389"/>
        <v>0</v>
      </c>
      <c r="EO206" s="48">
        <f t="shared" si="2390"/>
        <v>0</v>
      </c>
      <c r="EP206" s="62">
        <f t="shared" si="2399"/>
        <v>91020</v>
      </c>
      <c r="EQ206" s="62">
        <f t="shared" si="2399"/>
        <v>91020</v>
      </c>
      <c r="ER206" s="62">
        <f t="shared" si="2399"/>
        <v>91020</v>
      </c>
      <c r="ES206" s="62">
        <f t="shared" si="2399"/>
        <v>162495.30000000002</v>
      </c>
      <c r="ET206" s="62">
        <f t="shared" si="2399"/>
        <v>91020</v>
      </c>
      <c r="EU206" s="62">
        <f t="shared" si="2399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91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 t="shared" si="2339"/>
        <v>1</v>
      </c>
      <c r="FS206" s="120" t="b">
        <f t="shared" si="2340"/>
        <v>1</v>
      </c>
      <c r="FT206" s="120" t="b">
        <f t="shared" si="2341"/>
        <v>1</v>
      </c>
      <c r="FU206" s="120" t="b">
        <f t="shared" si="2342"/>
        <v>1</v>
      </c>
      <c r="FV206" s="120" t="b">
        <f t="shared" si="2343"/>
        <v>1</v>
      </c>
      <c r="FW206" s="104" t="b">
        <f t="shared" si="2392"/>
        <v>0</v>
      </c>
      <c r="FX206" s="120" t="b">
        <f t="shared" si="2393"/>
        <v>1</v>
      </c>
      <c r="FY206" s="104" t="s">
        <v>214</v>
      </c>
      <c r="FZ206" s="104" t="b">
        <f t="shared" si="2394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95"/>
        <v>1</v>
      </c>
      <c r="GI206" s="8" t="b">
        <f t="shared" si="2396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44"/>
        <v>нет минмакс</v>
      </c>
      <c r="Q207" s="95">
        <v>209</v>
      </c>
      <c r="R207" s="95">
        <f t="shared" si="2345"/>
        <v>315418.62</v>
      </c>
      <c r="S207" s="131">
        <v>234</v>
      </c>
      <c r="T207" s="131">
        <v>353148.12</v>
      </c>
      <c r="U207" s="131">
        <f t="shared" si="2346"/>
        <v>0</v>
      </c>
      <c r="V207" s="113">
        <f t="shared" si="2347"/>
        <v>209</v>
      </c>
      <c r="W207" s="113">
        <f t="shared" si="2348"/>
        <v>315418.62</v>
      </c>
      <c r="X207" s="113">
        <f t="shared" si="2349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50"/>
        <v>0</v>
      </c>
      <c r="AF207" s="95">
        <f t="shared" si="2351"/>
        <v>0</v>
      </c>
      <c r="AG207" s="114">
        <v>0</v>
      </c>
      <c r="AH207" s="95">
        <f t="shared" si="2352"/>
        <v>209</v>
      </c>
      <c r="AI207" s="114">
        <f t="shared" si="2353"/>
        <v>315418.62</v>
      </c>
      <c r="AJ207" s="133">
        <f t="shared" si="2354"/>
        <v>25</v>
      </c>
      <c r="AK207" s="133">
        <f t="shared" si="2355"/>
        <v>25</v>
      </c>
      <c r="AL207" s="133">
        <f t="shared" si="2356"/>
        <v>25</v>
      </c>
      <c r="AM207" s="133">
        <f t="shared" si="2357"/>
        <v>0</v>
      </c>
      <c r="AN207" s="133" t="str">
        <f t="shared" si="2358"/>
        <v>нет оборота</v>
      </c>
      <c r="AO207" s="133" t="str">
        <f t="shared" si="2359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60"/>
        <v>Нет планов</v>
      </c>
      <c r="AW207" s="117">
        <f t="shared" si="2361"/>
        <v>315418.62</v>
      </c>
      <c r="AX207" s="14">
        <f>MONTH(BC207)-6</f>
        <v>1</v>
      </c>
      <c r="AY207" s="25">
        <f t="shared" si="2362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63"/>
        <v>0</v>
      </c>
      <c r="BG207" s="32">
        <v>0</v>
      </c>
      <c r="BH207" s="32">
        <f t="shared" si="2364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65"/>
        <v>0</v>
      </c>
      <c r="BR207" s="95">
        <f t="shared" si="2366"/>
        <v>209</v>
      </c>
      <c r="BS207" s="133">
        <f t="shared" si="2400"/>
        <v>209</v>
      </c>
      <c r="BT207" s="133">
        <f t="shared" si="2400"/>
        <v>209</v>
      </c>
      <c r="BU207" s="133">
        <f t="shared" si="2400"/>
        <v>209</v>
      </c>
      <c r="BV207" s="133">
        <f t="shared" si="2400"/>
        <v>209</v>
      </c>
      <c r="BW207" s="133">
        <f t="shared" si="2400"/>
        <v>209</v>
      </c>
      <c r="BX207" s="133">
        <f t="shared" si="2398"/>
        <v>209</v>
      </c>
      <c r="BY207" s="133">
        <f t="shared" si="2398"/>
        <v>209</v>
      </c>
      <c r="BZ207" s="133">
        <f t="shared" si="2398"/>
        <v>209</v>
      </c>
      <c r="CA207" s="133">
        <f t="shared" si="2398"/>
        <v>209</v>
      </c>
      <c r="CB207" s="133">
        <f t="shared" si="2398"/>
        <v>209</v>
      </c>
      <c r="CC207" s="133">
        <f t="shared" si="2398"/>
        <v>209</v>
      </c>
      <c r="CD207" s="133">
        <f t="shared" si="2398"/>
        <v>209</v>
      </c>
      <c r="CE207" s="133">
        <f t="shared" si="2398"/>
        <v>209</v>
      </c>
      <c r="CF207" s="133">
        <f t="shared" si="2398"/>
        <v>209</v>
      </c>
      <c r="CG207" s="133">
        <f t="shared" si="2398"/>
        <v>209</v>
      </c>
      <c r="CH207" s="133">
        <f t="shared" si="2398"/>
        <v>209</v>
      </c>
      <c r="CI207" s="133">
        <f t="shared" si="2398"/>
        <v>209</v>
      </c>
      <c r="CJ207" s="133">
        <f t="shared" si="2398"/>
        <v>209</v>
      </c>
      <c r="CK207" s="133">
        <f t="shared" si="2398"/>
        <v>209</v>
      </c>
      <c r="CL207" s="133">
        <f t="shared" si="2398"/>
        <v>209</v>
      </c>
      <c r="CM207" s="133">
        <f t="shared" si="2398"/>
        <v>209</v>
      </c>
      <c r="CN207" s="133">
        <f t="shared" si="2398"/>
        <v>209</v>
      </c>
      <c r="CO207" s="133">
        <f t="shared" si="2398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68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35"/>
        <v>0</v>
      </c>
      <c r="DB207" s="4">
        <f t="shared" si="2336"/>
        <v>0</v>
      </c>
      <c r="DC207" s="4">
        <f t="shared" si="2337"/>
        <v>0</v>
      </c>
      <c r="DD207" s="136">
        <f t="shared" si="2338"/>
        <v>0</v>
      </c>
      <c r="DE207" s="31">
        <v>0</v>
      </c>
      <c r="DF207" s="31">
        <v>45</v>
      </c>
      <c r="DG207" s="31">
        <v>0</v>
      </c>
      <c r="DH207" s="48">
        <f t="shared" si="2369"/>
        <v>0</v>
      </c>
      <c r="DI207" s="62">
        <v>234</v>
      </c>
      <c r="DJ207" s="62">
        <v>353147.63</v>
      </c>
      <c r="DK207" s="48">
        <f t="shared" si="2370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71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72"/>
        <v>0</v>
      </c>
      <c r="DV207" s="62">
        <v>0</v>
      </c>
      <c r="DW207" s="62">
        <v>0</v>
      </c>
      <c r="DX207" s="62">
        <f t="shared" si="2373"/>
        <v>0</v>
      </c>
      <c r="DY207" s="62">
        <f t="shared" si="2374"/>
        <v>0</v>
      </c>
      <c r="DZ207" s="48">
        <f t="shared" si="2375"/>
        <v>0</v>
      </c>
      <c r="EA207" s="62">
        <f t="shared" si="2376"/>
        <v>0</v>
      </c>
      <c r="EB207" s="62">
        <f t="shared" si="2377"/>
        <v>0</v>
      </c>
      <c r="EC207" s="48">
        <f t="shared" si="2378"/>
        <v>0</v>
      </c>
      <c r="ED207" s="62">
        <f t="shared" si="2379"/>
        <v>0</v>
      </c>
      <c r="EE207" s="62">
        <f t="shared" si="2380"/>
        <v>0</v>
      </c>
      <c r="EF207" s="48">
        <f t="shared" si="2381"/>
        <v>0</v>
      </c>
      <c r="EG207" s="62">
        <f t="shared" si="2382"/>
        <v>0</v>
      </c>
      <c r="EH207" s="62">
        <f t="shared" si="2383"/>
        <v>0</v>
      </c>
      <c r="EI207" s="48">
        <f t="shared" si="2384"/>
        <v>0</v>
      </c>
      <c r="EJ207" s="62">
        <f t="shared" si="2385"/>
        <v>0</v>
      </c>
      <c r="EK207" s="62">
        <f t="shared" si="2386"/>
        <v>0</v>
      </c>
      <c r="EL207" s="48">
        <f t="shared" si="2387"/>
        <v>0</v>
      </c>
      <c r="EM207" s="62">
        <f t="shared" si="2388"/>
        <v>0</v>
      </c>
      <c r="EN207" s="62">
        <f t="shared" si="2389"/>
        <v>0</v>
      </c>
      <c r="EO207" s="48">
        <f t="shared" si="2390"/>
        <v>0</v>
      </c>
      <c r="EP207" s="62">
        <f t="shared" si="2399"/>
        <v>0</v>
      </c>
      <c r="EQ207" s="62">
        <f t="shared" si="2399"/>
        <v>0</v>
      </c>
      <c r="ER207" s="62">
        <f t="shared" si="2399"/>
        <v>0</v>
      </c>
      <c r="ES207" s="62">
        <f t="shared" si="2399"/>
        <v>0</v>
      </c>
      <c r="ET207" s="62">
        <f t="shared" si="2399"/>
        <v>0</v>
      </c>
      <c r="EU207" s="62">
        <f t="shared" si="2399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91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 t="shared" si="2339"/>
        <v>1</v>
      </c>
      <c r="FS207" s="103" t="b">
        <f t="shared" si="2340"/>
        <v>1</v>
      </c>
      <c r="FT207" s="103" t="b">
        <f t="shared" si="2341"/>
        <v>1</v>
      </c>
      <c r="FU207" s="103" t="b">
        <f t="shared" si="2342"/>
        <v>0</v>
      </c>
      <c r="FV207" s="103" t="b">
        <f t="shared" si="2343"/>
        <v>1</v>
      </c>
      <c r="FW207" s="104" t="b">
        <f t="shared" si="2392"/>
        <v>0</v>
      </c>
      <c r="FX207" s="120" t="b">
        <f t="shared" si="2393"/>
        <v>1</v>
      </c>
      <c r="FY207" s="104" t="s">
        <v>491</v>
      </c>
      <c r="FZ207" s="104" t="b">
        <f t="shared" si="2394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95"/>
        <v>1</v>
      </c>
      <c r="GI207" s="8" t="b">
        <f t="shared" si="2396"/>
        <v>0</v>
      </c>
      <c r="GJ207" s="31" t="s">
        <v>203</v>
      </c>
    </row>
    <row r="208" spans="1:192" hidden="1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44"/>
        <v>нет минмакс</v>
      </c>
      <c r="Q208" s="95">
        <v>23622</v>
      </c>
      <c r="R208" s="95">
        <f t="shared" si="2345"/>
        <v>85275.42</v>
      </c>
      <c r="S208" s="114">
        <v>93500</v>
      </c>
      <c r="T208" s="114">
        <v>338470</v>
      </c>
      <c r="U208" s="131">
        <f t="shared" si="2346"/>
        <v>10</v>
      </c>
      <c r="V208" s="115">
        <f t="shared" si="2347"/>
        <v>5196</v>
      </c>
      <c r="W208" s="115">
        <f t="shared" si="2348"/>
        <v>18757.559999999998</v>
      </c>
      <c r="X208" s="115">
        <f t="shared" si="2349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50"/>
        <v>0</v>
      </c>
      <c r="AF208" s="95">
        <f t="shared" si="2351"/>
        <v>0</v>
      </c>
      <c r="AG208" s="114">
        <v>0</v>
      </c>
      <c r="AH208" s="95">
        <f t="shared" si="2352"/>
        <v>5196</v>
      </c>
      <c r="AI208" s="114">
        <f t="shared" si="2353"/>
        <v>18757.559999999998</v>
      </c>
      <c r="AJ208" s="114">
        <f t="shared" si="2354"/>
        <v>33150</v>
      </c>
      <c r="AK208" s="114">
        <f t="shared" si="2355"/>
        <v>98321</v>
      </c>
      <c r="AL208" s="114">
        <f t="shared" si="2356"/>
        <v>158171</v>
      </c>
      <c r="AM208" s="114">
        <f t="shared" si="2357"/>
        <v>218356</v>
      </c>
      <c r="AN208" s="133">
        <f t="shared" si="2358"/>
        <v>77.075967685797508</v>
      </c>
      <c r="AO208" s="133" t="str">
        <f t="shared" si="2359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60"/>
        <v>0-01</v>
      </c>
      <c r="AW208" s="126">
        <f t="shared" si="2361"/>
        <v>0</v>
      </c>
      <c r="AX208" s="138"/>
      <c r="AY208" s="115">
        <f t="shared" si="2362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63"/>
        <v>0</v>
      </c>
      <c r="BG208" s="32">
        <v>0</v>
      </c>
      <c r="BH208" s="32">
        <f t="shared" si="2364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65"/>
        <v>36392.666666666664</v>
      </c>
      <c r="BR208" s="95">
        <f t="shared" si="2366"/>
        <v>-2316</v>
      </c>
      <c r="BS208" s="133">
        <f t="shared" si="2400"/>
        <v>-39237</v>
      </c>
      <c r="BT208" s="133">
        <f t="shared" si="2400"/>
        <v>-78546</v>
      </c>
      <c r="BU208" s="133">
        <f t="shared" si="2400"/>
        <v>-123082</v>
      </c>
      <c r="BV208" s="133">
        <f t="shared" si="2400"/>
        <v>-159809</v>
      </c>
      <c r="BW208" s="133">
        <f t="shared" si="2400"/>
        <v>-194734</v>
      </c>
      <c r="BX208" s="133">
        <f t="shared" ref="BX208:CO209" si="2401">BW208-$BQ208</f>
        <v>-231126.66666666666</v>
      </c>
      <c r="BY208" s="133">
        <f t="shared" si="2401"/>
        <v>-267519.33333333331</v>
      </c>
      <c r="BZ208" s="133">
        <f t="shared" si="2401"/>
        <v>-303912</v>
      </c>
      <c r="CA208" s="133">
        <f t="shared" si="2401"/>
        <v>-340304.66666666669</v>
      </c>
      <c r="CB208" s="133">
        <f t="shared" si="2401"/>
        <v>-376697.33333333337</v>
      </c>
      <c r="CC208" s="133">
        <f t="shared" si="2401"/>
        <v>-413090.00000000006</v>
      </c>
      <c r="CD208" s="133">
        <f t="shared" si="2401"/>
        <v>-449482.66666666674</v>
      </c>
      <c r="CE208" s="133">
        <f t="shared" si="2401"/>
        <v>-485875.33333333343</v>
      </c>
      <c r="CF208" s="133">
        <f t="shared" si="2401"/>
        <v>-522268.00000000012</v>
      </c>
      <c r="CG208" s="133">
        <f t="shared" si="2401"/>
        <v>-558660.66666666674</v>
      </c>
      <c r="CH208" s="133">
        <f t="shared" si="2401"/>
        <v>-595053.33333333337</v>
      </c>
      <c r="CI208" s="133">
        <f t="shared" si="2401"/>
        <v>-631446</v>
      </c>
      <c r="CJ208" s="133">
        <f t="shared" si="2401"/>
        <v>-667838.66666666663</v>
      </c>
      <c r="CK208" s="133">
        <f t="shared" si="2401"/>
        <v>-704231.33333333326</v>
      </c>
      <c r="CL208" s="133">
        <f t="shared" si="2401"/>
        <v>-740623.99999999988</v>
      </c>
      <c r="CM208" s="133">
        <f t="shared" si="2401"/>
        <v>-777016.66666666651</v>
      </c>
      <c r="CN208" s="133">
        <f t="shared" si="2401"/>
        <v>-813409.33333333314</v>
      </c>
      <c r="CO208" s="133">
        <f t="shared" si="2401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68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402">IFERROR(CZ208/CY208,0)</f>
        <v>0</v>
      </c>
      <c r="DB208" s="4">
        <f t="shared" ref="DB208:DB210" si="2403">CY208*FH208</f>
        <v>0</v>
      </c>
      <c r="DC208" s="4">
        <f t="shared" ref="DC208:DC210" si="2404">CZ208*FH208</f>
        <v>0</v>
      </c>
      <c r="DD208" s="136">
        <f t="shared" ref="DD208:DD210" si="2405">IFERROR(DC208/DB208,0)</f>
        <v>0</v>
      </c>
      <c r="DE208" s="31">
        <v>0</v>
      </c>
      <c r="DG208" s="31">
        <v>0</v>
      </c>
      <c r="DH208" s="48">
        <f t="shared" si="2369"/>
        <v>0</v>
      </c>
      <c r="DI208" s="62">
        <v>18175.645</v>
      </c>
      <c r="DJ208" s="62">
        <v>64842.248000000007</v>
      </c>
      <c r="DK208" s="48">
        <f t="shared" si="2370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71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72"/>
        <v>10</v>
      </c>
      <c r="DV208" s="62">
        <v>28403</v>
      </c>
      <c r="DW208" s="62">
        <v>102407.90245755311</v>
      </c>
      <c r="DX208" s="62">
        <f t="shared" si="2373"/>
        <v>0</v>
      </c>
      <c r="DY208" s="62">
        <f t="shared" si="2374"/>
        <v>0</v>
      </c>
      <c r="DZ208" s="48">
        <f t="shared" si="2375"/>
        <v>0</v>
      </c>
      <c r="EA208" s="62">
        <f t="shared" si="2376"/>
        <v>0</v>
      </c>
      <c r="EB208" s="62">
        <f t="shared" si="2377"/>
        <v>0</v>
      </c>
      <c r="EC208" s="48">
        <f t="shared" si="2378"/>
        <v>0</v>
      </c>
      <c r="ED208" s="62">
        <f t="shared" si="2379"/>
        <v>0</v>
      </c>
      <c r="EE208" s="62">
        <f t="shared" si="2380"/>
        <v>0</v>
      </c>
      <c r="EF208" s="48">
        <f t="shared" si="2381"/>
        <v>0</v>
      </c>
      <c r="EG208" s="62">
        <f t="shared" si="2382"/>
        <v>0</v>
      </c>
      <c r="EH208" s="62">
        <f t="shared" si="2383"/>
        <v>0</v>
      </c>
      <c r="EI208" s="48">
        <f t="shared" si="2384"/>
        <v>0</v>
      </c>
      <c r="EJ208" s="62">
        <f t="shared" si="2385"/>
        <v>0</v>
      </c>
      <c r="EK208" s="62">
        <f t="shared" si="2386"/>
        <v>0</v>
      </c>
      <c r="EL208" s="48">
        <f t="shared" si="2387"/>
        <v>0</v>
      </c>
      <c r="EM208" s="62">
        <f t="shared" si="2388"/>
        <v>0</v>
      </c>
      <c r="EN208" s="62">
        <f t="shared" si="2389"/>
        <v>0</v>
      </c>
      <c r="EO208" s="48">
        <f t="shared" si="2390"/>
        <v>0</v>
      </c>
      <c r="EP208" s="62">
        <f t="shared" si="2399"/>
        <v>93636.18</v>
      </c>
      <c r="EQ208" s="62">
        <f t="shared" si="2399"/>
        <v>133284.81</v>
      </c>
      <c r="ER208" s="62">
        <f t="shared" si="2399"/>
        <v>141905.49</v>
      </c>
      <c r="ES208" s="62">
        <f t="shared" si="2399"/>
        <v>160774.96</v>
      </c>
      <c r="ET208" s="62">
        <f t="shared" si="2399"/>
        <v>132584.47</v>
      </c>
      <c r="EU208" s="62">
        <f t="shared" si="2399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91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 t="shared" si="2339"/>
        <v>1</v>
      </c>
      <c r="FS208" s="120" t="b">
        <f t="shared" si="2340"/>
        <v>1</v>
      </c>
      <c r="FT208" s="120" t="b">
        <f t="shared" si="2341"/>
        <v>1</v>
      </c>
      <c r="FU208" s="120" t="b">
        <f t="shared" si="2342"/>
        <v>1</v>
      </c>
      <c r="FV208" s="120" t="b">
        <f t="shared" si="2343"/>
        <v>1</v>
      </c>
      <c r="FW208" s="104" t="b">
        <f t="shared" si="2392"/>
        <v>0</v>
      </c>
      <c r="FX208" s="120" t="b">
        <f t="shared" si="2393"/>
        <v>1</v>
      </c>
      <c r="FY208" s="104" t="s">
        <v>368</v>
      </c>
      <c r="FZ208" s="104" t="b">
        <f t="shared" si="2394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95"/>
        <v>1</v>
      </c>
      <c r="GI208" s="8" t="b">
        <f t="shared" si="2396"/>
        <v>0</v>
      </c>
      <c r="GJ208" s="31" t="s">
        <v>203</v>
      </c>
    </row>
    <row r="209" spans="1:192" ht="30" hidden="1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406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407">Q209*FH209</f>
        <v>430458.06017761229</v>
      </c>
      <c r="S209" s="114">
        <v>2072</v>
      </c>
      <c r="T209" s="114">
        <v>323667.12</v>
      </c>
      <c r="U209" s="131">
        <f t="shared" ref="U209:U213" si="2408">IFERROR(ROUNDUP(S209/$EX209,0)*$EY209,0)</f>
        <v>0</v>
      </c>
      <c r="V209" s="115">
        <f t="shared" ref="V209:V213" si="2409">SUM(Z209:AD209)</f>
        <v>2748.6159973144531</v>
      </c>
      <c r="W209" s="115">
        <f t="shared" ref="W209:W213" si="2410">V209*FH209</f>
        <v>432329.8102175903</v>
      </c>
      <c r="X209" s="115">
        <f t="shared" ref="X209:X213" si="2411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412">AA209*FH209</f>
        <v>0</v>
      </c>
      <c r="AF209" s="95">
        <f t="shared" ref="AF209:AF213" si="2413">AB209*FH209</f>
        <v>0</v>
      </c>
      <c r="AG209" s="114">
        <v>0</v>
      </c>
      <c r="AH209" s="95">
        <f t="shared" ref="AH209:AH213" si="2414">V209-AG209</f>
        <v>2748.6159973144531</v>
      </c>
      <c r="AI209" s="114">
        <f t="shared" ref="AI209:AI213" si="2415">IF(AH209&gt;0,AH209*FH209,0)</f>
        <v>432329.8102175903</v>
      </c>
      <c r="AJ209" s="114">
        <f t="shared" ref="AJ209:AJ213" si="2416">CU209</f>
        <v>0</v>
      </c>
      <c r="AK209" s="114">
        <f t="shared" ref="AK209:AK213" si="2417">SUM(CS209:CU209)</f>
        <v>134</v>
      </c>
      <c r="AL209" s="114">
        <f t="shared" ref="AL209:AL213" si="2418">SUM(CP209:CU209)</f>
        <v>796</v>
      </c>
      <c r="AM209" s="114">
        <f t="shared" ref="AM209:AM213" si="2419">SUM(BK209:BP209)</f>
        <v>0</v>
      </c>
      <c r="AN209" s="133" t="str">
        <f t="shared" ref="AN209:AN213" si="2420">IFERROR(S209/BQ209*30,"нет оборота")</f>
        <v>нет оборота</v>
      </c>
      <c r="AO209" s="133" t="str">
        <f t="shared" ref="AO209:AO213" si="2421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422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423">IF(AT209="Да",W209,0)</f>
        <v>432329.8102175903</v>
      </c>
      <c r="AX209" s="138"/>
      <c r="AY209" s="115">
        <f t="shared" ref="AY209:AY213" si="2424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25">BE209*FH209</f>
        <v>0</v>
      </c>
      <c r="BG209" s="32">
        <v>0</v>
      </c>
      <c r="BH209" s="32">
        <f t="shared" ref="BH209:BH213" si="2426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27">IF(COUNTIF(BK209:BP209,"&gt;0")=0,0,SUM(BK209:BP209)/COUNTIF(BK209:BP209,"&gt;0"))</f>
        <v>0</v>
      </c>
      <c r="BR209" s="95">
        <f t="shared" ref="BR209:BR213" si="2428">IF(OR(Q209=0,SUM(BK209:BP209)=0,V209&gt;Q209),V209-BK209,Q209-BK209)</f>
        <v>2748.6159973144531</v>
      </c>
      <c r="BS209" s="133">
        <f t="shared" si="2400"/>
        <v>2748.6159973144531</v>
      </c>
      <c r="BT209" s="133">
        <f t="shared" si="2400"/>
        <v>2748.6159973144531</v>
      </c>
      <c r="BU209" s="133">
        <f t="shared" si="2400"/>
        <v>2748.6159973144531</v>
      </c>
      <c r="BV209" s="133">
        <f t="shared" si="2400"/>
        <v>2748.6159973144531</v>
      </c>
      <c r="BW209" s="133">
        <f t="shared" si="2400"/>
        <v>2748.6159973144531</v>
      </c>
      <c r="BX209" s="133">
        <f t="shared" si="2401"/>
        <v>2748.6159973144531</v>
      </c>
      <c r="BY209" s="133">
        <f t="shared" si="2401"/>
        <v>2748.6159973144531</v>
      </c>
      <c r="BZ209" s="133">
        <f t="shared" si="2401"/>
        <v>2748.6159973144531</v>
      </c>
      <c r="CA209" s="133">
        <f t="shared" ref="CA209:CO209" si="2429">BZ209-$BQ209</f>
        <v>2748.6159973144531</v>
      </c>
      <c r="CB209" s="133">
        <f t="shared" si="2429"/>
        <v>2748.6159973144531</v>
      </c>
      <c r="CC209" s="133">
        <f t="shared" si="2429"/>
        <v>2748.6159973144531</v>
      </c>
      <c r="CD209" s="133">
        <f t="shared" si="2429"/>
        <v>2748.6159973144531</v>
      </c>
      <c r="CE209" s="133">
        <f t="shared" si="2429"/>
        <v>2748.6159973144531</v>
      </c>
      <c r="CF209" s="133">
        <f t="shared" si="2429"/>
        <v>2748.6159973144531</v>
      </c>
      <c r="CG209" s="133">
        <f t="shared" si="2429"/>
        <v>2748.6159973144531</v>
      </c>
      <c r="CH209" s="133">
        <f t="shared" si="2429"/>
        <v>2748.6159973144531</v>
      </c>
      <c r="CI209" s="133">
        <f t="shared" si="2429"/>
        <v>2748.6159973144531</v>
      </c>
      <c r="CJ209" s="133">
        <f t="shared" si="2429"/>
        <v>2748.6159973144531</v>
      </c>
      <c r="CK209" s="133">
        <f t="shared" si="2429"/>
        <v>2748.6159973144531</v>
      </c>
      <c r="CL209" s="133">
        <f t="shared" si="2429"/>
        <v>2748.6159973144531</v>
      </c>
      <c r="CM209" s="133">
        <f t="shared" si="2429"/>
        <v>2748.6159973144531</v>
      </c>
      <c r="CN209" s="133">
        <f t="shared" si="2429"/>
        <v>2748.6159973144531</v>
      </c>
      <c r="CO209" s="133">
        <f t="shared" si="2429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30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402"/>
        <v>0</v>
      </c>
      <c r="DB209" s="4">
        <f t="shared" si="2403"/>
        <v>0</v>
      </c>
      <c r="DC209" s="4">
        <f t="shared" si="2404"/>
        <v>0</v>
      </c>
      <c r="DD209" s="136">
        <f t="shared" si="2405"/>
        <v>0</v>
      </c>
      <c r="DE209" s="31">
        <v>0</v>
      </c>
      <c r="DG209" s="31">
        <v>0</v>
      </c>
      <c r="DH209" s="48">
        <f t="shared" ref="DH209:DH213" si="2431">IFERROR(ROUNDUP(DG209/$EX209,0)*$EY209,0)</f>
        <v>0</v>
      </c>
      <c r="DI209" s="62">
        <v>1687</v>
      </c>
      <c r="DJ209" s="62">
        <v>257975.527</v>
      </c>
      <c r="DK209" s="48">
        <f t="shared" ref="DK209:DK213" si="2432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33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34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35">$DF209*BK209/30</f>
        <v>0</v>
      </c>
      <c r="DY209" s="62">
        <f t="shared" ref="DY209:DY213" si="2436">DX209*$FH209</f>
        <v>0</v>
      </c>
      <c r="DZ209" s="48">
        <f t="shared" ref="DZ209:DZ213" si="2437">IFERROR(ROUNDUP(DX209/$EX209,0)*$EY209,0)</f>
        <v>0</v>
      </c>
      <c r="EA209" s="62">
        <f t="shared" ref="EA209:EA213" si="2438">$DF209*BL209/30</f>
        <v>0</v>
      </c>
      <c r="EB209" s="62">
        <f t="shared" ref="EB209:EB213" si="2439">EA209*$FH209</f>
        <v>0</v>
      </c>
      <c r="EC209" s="48">
        <f t="shared" ref="EC209:EC213" si="2440">IFERROR(ROUNDUP(EA209/$EX209,0)*$EY209,0)</f>
        <v>0</v>
      </c>
      <c r="ED209" s="62">
        <f t="shared" ref="ED209:ED213" si="2441">$DF209*BM209/30</f>
        <v>0</v>
      </c>
      <c r="EE209" s="62">
        <f t="shared" ref="EE209:EE213" si="2442">ED209*$FH209</f>
        <v>0</v>
      </c>
      <c r="EF209" s="48">
        <f t="shared" ref="EF209:EF213" si="2443">IFERROR(ROUNDUP(ED209/$EX209,0)*$EY209,0)</f>
        <v>0</v>
      </c>
      <c r="EG209" s="62">
        <f t="shared" ref="EG209:EG213" si="2444">$DF209*BN209/30</f>
        <v>0</v>
      </c>
      <c r="EH209" s="62">
        <f t="shared" ref="EH209:EH213" si="2445">EG209*$FH209</f>
        <v>0</v>
      </c>
      <c r="EI209" s="48">
        <f t="shared" ref="EI209:EI213" si="2446">IFERROR(ROUNDUP(EG209/$EX209,0)*$EY209,0)</f>
        <v>0</v>
      </c>
      <c r="EJ209" s="62">
        <f t="shared" ref="EJ209:EJ213" si="2447">$DF209*BO209/30</f>
        <v>0</v>
      </c>
      <c r="EK209" s="62">
        <f t="shared" ref="EK209:EK213" si="2448">EJ209*$FH209</f>
        <v>0</v>
      </c>
      <c r="EL209" s="48">
        <f t="shared" ref="EL209:EL213" si="2449">IFERROR(ROUNDUP(EJ209/$EX209,0)*$EY209,0)</f>
        <v>0</v>
      </c>
      <c r="EM209" s="62">
        <f t="shared" ref="EM209:EM213" si="2450">$DF209*BP209/30</f>
        <v>0</v>
      </c>
      <c r="EN209" s="62">
        <f t="shared" ref="EN209:EN213" si="2451">EM209*$FH209</f>
        <v>0</v>
      </c>
      <c r="EO209" s="48">
        <f t="shared" ref="EO209:EO213" si="2452">IFERROR(ROUNDUP(EM209/$EX209,0)*$EY209,0)</f>
        <v>0</v>
      </c>
      <c r="EP209" s="62">
        <f t="shared" si="2399"/>
        <v>0</v>
      </c>
      <c r="EQ209" s="62">
        <f t="shared" si="2399"/>
        <v>0</v>
      </c>
      <c r="ER209" s="62">
        <f t="shared" si="2399"/>
        <v>0</v>
      </c>
      <c r="ES209" s="62">
        <f t="shared" si="2399"/>
        <v>0</v>
      </c>
      <c r="ET209" s="62">
        <f t="shared" si="2399"/>
        <v>0</v>
      </c>
      <c r="EU209" s="62">
        <f t="shared" si="2399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53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 t="shared" si="2339"/>
        <v>1</v>
      </c>
      <c r="FS209" s="120" t="b">
        <f t="shared" si="2340"/>
        <v>1</v>
      </c>
      <c r="FT209" s="120" t="b">
        <f t="shared" si="2341"/>
        <v>1</v>
      </c>
      <c r="FU209" s="120" t="b">
        <f t="shared" si="2342"/>
        <v>1</v>
      </c>
      <c r="FV209" s="120" t="b">
        <f t="shared" si="2343"/>
        <v>1</v>
      </c>
      <c r="FW209" s="104" t="b">
        <f t="shared" si="2392"/>
        <v>0</v>
      </c>
      <c r="FX209" s="120" t="b">
        <f t="shared" ref="FX209:FX213" si="2454">EXACT(FQ209,BI209)</f>
        <v>1</v>
      </c>
      <c r="FY209" s="104" t="s">
        <v>368</v>
      </c>
      <c r="FZ209" s="104" t="b">
        <f t="shared" ref="FZ209:FZ213" si="2455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56">EXACT(GD209,C209)</f>
        <v>1</v>
      </c>
      <c r="GI209" s="8" t="b">
        <f t="shared" ref="GI209:GI213" si="2457">EXACT(GG209,G209)</f>
        <v>0</v>
      </c>
      <c r="GJ209" s="31" t="s">
        <v>203</v>
      </c>
    </row>
    <row r="210" spans="1:192" hidden="1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406"/>
        <v>нет минмакс</v>
      </c>
      <c r="Q210" s="95">
        <v>254</v>
      </c>
      <c r="R210" s="95">
        <f t="shared" si="2407"/>
        <v>8181.34</v>
      </c>
      <c r="S210" s="114">
        <v>9534</v>
      </c>
      <c r="T210" s="114">
        <v>334071.36</v>
      </c>
      <c r="U210" s="131">
        <f t="shared" si="2408"/>
        <v>43</v>
      </c>
      <c r="V210" s="115">
        <f t="shared" si="2409"/>
        <v>1725</v>
      </c>
      <c r="W210" s="115">
        <f t="shared" si="2410"/>
        <v>55562.25</v>
      </c>
      <c r="X210" s="115">
        <f t="shared" si="2411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412"/>
        <v>0</v>
      </c>
      <c r="AF210" s="95">
        <f t="shared" si="2413"/>
        <v>0</v>
      </c>
      <c r="AG210" s="114">
        <v>0</v>
      </c>
      <c r="AH210" s="95">
        <f t="shared" si="2414"/>
        <v>1725</v>
      </c>
      <c r="AI210" s="114">
        <f t="shared" si="2415"/>
        <v>55562.25</v>
      </c>
      <c r="AJ210" s="114">
        <f t="shared" si="2416"/>
        <v>10990</v>
      </c>
      <c r="AK210" s="114">
        <f t="shared" si="2417"/>
        <v>22866</v>
      </c>
      <c r="AL210" s="114">
        <f t="shared" si="2418"/>
        <v>34834</v>
      </c>
      <c r="AM210" s="114">
        <f t="shared" si="2419"/>
        <v>125433</v>
      </c>
      <c r="AN210" s="133">
        <f t="shared" si="2420"/>
        <v>13.681567051732799</v>
      </c>
      <c r="AO210" s="133" t="str">
        <f t="shared" si="2421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422"/>
        <v>0-01</v>
      </c>
      <c r="AW210" s="126">
        <f t="shared" si="2423"/>
        <v>0</v>
      </c>
      <c r="AX210" s="138"/>
      <c r="AY210" s="115">
        <f t="shared" si="2424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25"/>
        <v>0</v>
      </c>
      <c r="BG210" s="32">
        <v>0</v>
      </c>
      <c r="BH210" s="32">
        <f t="shared" si="2426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27"/>
        <v>20905.5</v>
      </c>
      <c r="BR210" s="95">
        <f t="shared" si="2428"/>
        <v>-26523</v>
      </c>
      <c r="BS210" s="133">
        <f t="shared" si="2400"/>
        <v>-47612</v>
      </c>
      <c r="BT210" s="133">
        <f t="shared" si="2400"/>
        <v>-70325</v>
      </c>
      <c r="BU210" s="133">
        <f t="shared" si="2400"/>
        <v>-90312</v>
      </c>
      <c r="BV210" s="133">
        <f t="shared" si="2400"/>
        <v>-109041</v>
      </c>
      <c r="BW210" s="133">
        <f t="shared" si="2400"/>
        <v>-123708</v>
      </c>
      <c r="BX210" s="133">
        <f t="shared" ref="BX210:CO210" si="2458">BW210-$BQ210</f>
        <v>-144613.5</v>
      </c>
      <c r="BY210" s="133">
        <f t="shared" si="2458"/>
        <v>-165519</v>
      </c>
      <c r="BZ210" s="133">
        <f t="shared" si="2458"/>
        <v>-186424.5</v>
      </c>
      <c r="CA210" s="133">
        <f t="shared" si="2458"/>
        <v>-207330</v>
      </c>
      <c r="CB210" s="133">
        <f t="shared" si="2458"/>
        <v>-228235.5</v>
      </c>
      <c r="CC210" s="133">
        <f t="shared" si="2458"/>
        <v>-249141</v>
      </c>
      <c r="CD210" s="133">
        <f t="shared" si="2458"/>
        <v>-270046.5</v>
      </c>
      <c r="CE210" s="133">
        <f t="shared" si="2458"/>
        <v>-290952</v>
      </c>
      <c r="CF210" s="133">
        <f t="shared" si="2458"/>
        <v>-311857.5</v>
      </c>
      <c r="CG210" s="133">
        <f t="shared" si="2458"/>
        <v>-332763</v>
      </c>
      <c r="CH210" s="133">
        <f t="shared" si="2458"/>
        <v>-353668.5</v>
      </c>
      <c r="CI210" s="133">
        <f t="shared" si="2458"/>
        <v>-374574</v>
      </c>
      <c r="CJ210" s="133">
        <f t="shared" si="2458"/>
        <v>-395479.5</v>
      </c>
      <c r="CK210" s="133">
        <f t="shared" si="2458"/>
        <v>-416385</v>
      </c>
      <c r="CL210" s="133">
        <f t="shared" si="2458"/>
        <v>-437290.5</v>
      </c>
      <c r="CM210" s="133">
        <f t="shared" si="2458"/>
        <v>-458196</v>
      </c>
      <c r="CN210" s="133">
        <f t="shared" si="2458"/>
        <v>-479101.5</v>
      </c>
      <c r="CO210" s="133">
        <f t="shared" si="2458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30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402"/>
        <v>0</v>
      </c>
      <c r="DB210" s="4">
        <f t="shared" si="2403"/>
        <v>0</v>
      </c>
      <c r="DC210" s="4">
        <f t="shared" si="2404"/>
        <v>0</v>
      </c>
      <c r="DD210" s="136">
        <f t="shared" si="2405"/>
        <v>0</v>
      </c>
      <c r="DE210" s="31">
        <v>0</v>
      </c>
      <c r="DG210" s="31">
        <v>0</v>
      </c>
      <c r="DH210" s="48">
        <f t="shared" si="2431"/>
        <v>0</v>
      </c>
      <c r="DI210" s="62">
        <v>10520.870999999999</v>
      </c>
      <c r="DJ210" s="62">
        <v>351691.94500000001</v>
      </c>
      <c r="DK210" s="48">
        <f t="shared" si="2432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33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34"/>
        <v>20</v>
      </c>
      <c r="DV210" s="62">
        <v>3058</v>
      </c>
      <c r="DW210" s="62">
        <v>102219.14618118983</v>
      </c>
      <c r="DX210" s="62">
        <f t="shared" si="2435"/>
        <v>0</v>
      </c>
      <c r="DY210" s="62">
        <f t="shared" si="2436"/>
        <v>0</v>
      </c>
      <c r="DZ210" s="48">
        <f t="shared" si="2437"/>
        <v>0</v>
      </c>
      <c r="EA210" s="62">
        <f t="shared" si="2438"/>
        <v>0</v>
      </c>
      <c r="EB210" s="62">
        <f t="shared" si="2439"/>
        <v>0</v>
      </c>
      <c r="EC210" s="48">
        <f t="shared" si="2440"/>
        <v>0</v>
      </c>
      <c r="ED210" s="62">
        <f t="shared" si="2441"/>
        <v>0</v>
      </c>
      <c r="EE210" s="62">
        <f t="shared" si="2442"/>
        <v>0</v>
      </c>
      <c r="EF210" s="48">
        <f t="shared" si="2443"/>
        <v>0</v>
      </c>
      <c r="EG210" s="62">
        <f t="shared" si="2444"/>
        <v>0</v>
      </c>
      <c r="EH210" s="62">
        <f t="shared" si="2445"/>
        <v>0</v>
      </c>
      <c r="EI210" s="48">
        <f t="shared" si="2446"/>
        <v>0</v>
      </c>
      <c r="EJ210" s="62">
        <f t="shared" si="2447"/>
        <v>0</v>
      </c>
      <c r="EK210" s="62">
        <f t="shared" si="2448"/>
        <v>0</v>
      </c>
      <c r="EL210" s="48">
        <f t="shared" si="2449"/>
        <v>0</v>
      </c>
      <c r="EM210" s="62">
        <f t="shared" si="2450"/>
        <v>0</v>
      </c>
      <c r="EN210" s="62">
        <f t="shared" si="2451"/>
        <v>0</v>
      </c>
      <c r="EO210" s="48">
        <f t="shared" si="2452"/>
        <v>0</v>
      </c>
      <c r="EP210" s="62">
        <f t="shared" si="2399"/>
        <v>909868.08000000007</v>
      </c>
      <c r="EQ210" s="62">
        <f t="shared" si="2399"/>
        <v>679276.69000000006</v>
      </c>
      <c r="ER210" s="62">
        <f t="shared" si="2399"/>
        <v>731585.73</v>
      </c>
      <c r="ES210" s="62">
        <f t="shared" si="2399"/>
        <v>643781.27</v>
      </c>
      <c r="ET210" s="62">
        <f t="shared" si="2399"/>
        <v>603261.09</v>
      </c>
      <c r="EU210" s="62">
        <f t="shared" si="2399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53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 t="shared" si="2339"/>
        <v>1</v>
      </c>
      <c r="FS210" s="120" t="b">
        <f t="shared" si="2340"/>
        <v>1</v>
      </c>
      <c r="FT210" s="120" t="b">
        <f t="shared" si="2341"/>
        <v>1</v>
      </c>
      <c r="FU210" s="120" t="b">
        <f t="shared" si="2342"/>
        <v>1</v>
      </c>
      <c r="FV210" s="120" t="b">
        <f t="shared" si="2343"/>
        <v>1</v>
      </c>
      <c r="FW210" s="104" t="b">
        <f t="shared" si="2392"/>
        <v>0</v>
      </c>
      <c r="FX210" s="120" t="b">
        <f t="shared" si="2454"/>
        <v>1</v>
      </c>
      <c r="FY210" s="104" t="s">
        <v>368</v>
      </c>
      <c r="FZ210" s="104" t="b">
        <f t="shared" si="2455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56"/>
        <v>1</v>
      </c>
      <c r="GI210" s="8" t="b">
        <f t="shared" si="2457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406"/>
        <v>в диапазоне</v>
      </c>
      <c r="Q211" s="95">
        <v>24.336999893188477</v>
      </c>
      <c r="R211" s="95">
        <f t="shared" si="2407"/>
        <v>115915.4269012642</v>
      </c>
      <c r="S211" s="131">
        <v>63.756998598575592</v>
      </c>
      <c r="T211" s="131">
        <v>303670.12133511365</v>
      </c>
      <c r="U211" s="131">
        <f t="shared" si="2408"/>
        <v>1.5</v>
      </c>
      <c r="V211" s="113">
        <f t="shared" si="2409"/>
        <v>55.583999991416931</v>
      </c>
      <c r="W211" s="113">
        <f t="shared" si="2410"/>
        <v>264742.70107911946</v>
      </c>
      <c r="X211" s="113">
        <f t="shared" si="2411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412"/>
        <v>0</v>
      </c>
      <c r="AF211" s="95">
        <f t="shared" si="2413"/>
        <v>0</v>
      </c>
      <c r="AG211" s="114">
        <v>0</v>
      </c>
      <c r="AH211" s="95">
        <f t="shared" si="2414"/>
        <v>55.583999991416931</v>
      </c>
      <c r="AI211" s="114">
        <f t="shared" si="2415"/>
        <v>264742.70107911946</v>
      </c>
      <c r="AJ211" s="133">
        <f t="shared" si="2416"/>
        <v>15</v>
      </c>
      <c r="AK211" s="133">
        <f t="shared" si="2417"/>
        <v>48</v>
      </c>
      <c r="AL211" s="133">
        <f t="shared" si="2418"/>
        <v>95</v>
      </c>
      <c r="AM211" s="133">
        <f t="shared" si="2419"/>
        <v>68.2</v>
      </c>
      <c r="AN211" s="133">
        <f t="shared" si="2420"/>
        <v>168.27360333934905</v>
      </c>
      <c r="AO211" s="133" t="str">
        <f t="shared" si="2421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422"/>
        <v>0-05</v>
      </c>
      <c r="AW211" s="117">
        <f t="shared" si="2423"/>
        <v>0</v>
      </c>
      <c r="AX211" s="14"/>
      <c r="AY211" s="25">
        <f t="shared" si="2424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25"/>
        <v>0</v>
      </c>
      <c r="BG211" s="32">
        <v>0</v>
      </c>
      <c r="BH211" s="32">
        <f t="shared" si="2426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27"/>
        <v>11.366666666666667</v>
      </c>
      <c r="BR211" s="95">
        <f t="shared" si="2428"/>
        <v>41.523999991416929</v>
      </c>
      <c r="BS211" s="133">
        <f t="shared" ref="BS211:BW214" si="2459">BR211-BL211</f>
        <v>32.403999991416931</v>
      </c>
      <c r="BT211" s="133">
        <f t="shared" si="2459"/>
        <v>21.113999991416932</v>
      </c>
      <c r="BU211" s="133">
        <f t="shared" si="2459"/>
        <v>10.023999991416932</v>
      </c>
      <c r="BV211" s="133">
        <f t="shared" si="2459"/>
        <v>-1.6060000085830684</v>
      </c>
      <c r="BW211" s="133">
        <f t="shared" si="2459"/>
        <v>-12.616000008583068</v>
      </c>
      <c r="BX211" s="133">
        <f t="shared" ref="BX211:CO211" si="2460">BW211-$BQ211</f>
        <v>-23.982666675249735</v>
      </c>
      <c r="BY211" s="133">
        <f t="shared" si="2460"/>
        <v>-35.349333341916406</v>
      </c>
      <c r="BZ211" s="133">
        <f t="shared" si="2460"/>
        <v>-46.716000008583073</v>
      </c>
      <c r="CA211" s="133">
        <f t="shared" si="2460"/>
        <v>-58.08266667524974</v>
      </c>
      <c r="CB211" s="133">
        <f t="shared" si="2460"/>
        <v>-69.4493333419164</v>
      </c>
      <c r="CC211" s="133">
        <f t="shared" si="2460"/>
        <v>-80.816000008583075</v>
      </c>
      <c r="CD211" s="133">
        <f t="shared" si="2460"/>
        <v>-92.182666675249749</v>
      </c>
      <c r="CE211" s="133">
        <f t="shared" si="2460"/>
        <v>-103.54933334191642</v>
      </c>
      <c r="CF211" s="133">
        <f t="shared" si="2460"/>
        <v>-114.9160000085831</v>
      </c>
      <c r="CG211" s="133">
        <f t="shared" si="2460"/>
        <v>-126.28266667524977</v>
      </c>
      <c r="CH211" s="133">
        <f t="shared" si="2460"/>
        <v>-137.64933334191645</v>
      </c>
      <c r="CI211" s="133">
        <f t="shared" si="2460"/>
        <v>-149.01600000858312</v>
      </c>
      <c r="CJ211" s="133">
        <f t="shared" si="2460"/>
        <v>-160.38266667524979</v>
      </c>
      <c r="CK211" s="133">
        <f t="shared" si="2460"/>
        <v>-171.74933334191647</v>
      </c>
      <c r="CL211" s="133">
        <f t="shared" si="2460"/>
        <v>-183.11600000858314</v>
      </c>
      <c r="CM211" s="133">
        <f t="shared" si="2460"/>
        <v>-194.48266667524982</v>
      </c>
      <c r="CN211" s="133">
        <f t="shared" si="2460"/>
        <v>-205.84933334191649</v>
      </c>
      <c r="CO211" s="133">
        <f t="shared" si="2460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30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61">IFERROR(CZ211/CY211,0)</f>
        <v>0</v>
      </c>
      <c r="DB211" s="4">
        <f t="shared" ref="DB211" si="2462">CY211*FH211</f>
        <v>0</v>
      </c>
      <c r="DC211" s="4">
        <f t="shared" ref="DC211" si="2463">CZ211*FH211</f>
        <v>0</v>
      </c>
      <c r="DD211" s="136">
        <f t="shared" ref="DD211" si="2464">IFERROR(DC211/DB211,0)</f>
        <v>0</v>
      </c>
      <c r="DE211" s="31">
        <v>0</v>
      </c>
      <c r="DF211" s="31">
        <v>30</v>
      </c>
      <c r="DG211" s="31">
        <v>0</v>
      </c>
      <c r="DH211" s="48">
        <f t="shared" si="2431"/>
        <v>0</v>
      </c>
      <c r="DI211" s="62">
        <v>101.60299999999999</v>
      </c>
      <c r="DJ211" s="62">
        <v>483923.723</v>
      </c>
      <c r="DK211" s="48">
        <f t="shared" si="2432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33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34"/>
        <v>1.5</v>
      </c>
      <c r="DV211" s="62">
        <v>9.3440000000000012</v>
      </c>
      <c r="DW211" s="62">
        <v>44504.819214780611</v>
      </c>
      <c r="DX211" s="62">
        <f t="shared" si="2435"/>
        <v>14.06</v>
      </c>
      <c r="DY211" s="62">
        <f t="shared" si="2436"/>
        <v>66966.795800000007</v>
      </c>
      <c r="DZ211" s="48">
        <f t="shared" si="2437"/>
        <v>1.5</v>
      </c>
      <c r="EA211" s="62">
        <f t="shared" si="2438"/>
        <v>9.1199999999999992</v>
      </c>
      <c r="EB211" s="62">
        <f t="shared" si="2439"/>
        <v>43437.921600000001</v>
      </c>
      <c r="EC211" s="48">
        <f t="shared" si="2440"/>
        <v>1.5</v>
      </c>
      <c r="ED211" s="62">
        <f t="shared" si="2441"/>
        <v>11.29</v>
      </c>
      <c r="EE211" s="62">
        <f t="shared" si="2442"/>
        <v>53773.479699999996</v>
      </c>
      <c r="EF211" s="48">
        <f t="shared" si="2443"/>
        <v>1.5</v>
      </c>
      <c r="EG211" s="62">
        <f t="shared" si="2444"/>
        <v>11.09</v>
      </c>
      <c r="EH211" s="62">
        <f t="shared" si="2445"/>
        <v>52820.893700000001</v>
      </c>
      <c r="EI211" s="48">
        <f t="shared" si="2446"/>
        <v>1.5</v>
      </c>
      <c r="EJ211" s="62">
        <f t="shared" si="2447"/>
        <v>11.63</v>
      </c>
      <c r="EK211" s="62">
        <f t="shared" si="2448"/>
        <v>55392.875900000006</v>
      </c>
      <c r="EL211" s="48">
        <f t="shared" si="2449"/>
        <v>1.5</v>
      </c>
      <c r="EM211" s="62">
        <f t="shared" si="2450"/>
        <v>11.01</v>
      </c>
      <c r="EN211" s="62">
        <f t="shared" si="2451"/>
        <v>52439.859300000004</v>
      </c>
      <c r="EO211" s="48">
        <f t="shared" si="2452"/>
        <v>1.5</v>
      </c>
      <c r="EP211" s="62">
        <f t="shared" ref="EP211:EU215" si="2465">BK211*$FH211</f>
        <v>66966.795800000007</v>
      </c>
      <c r="EQ211" s="62">
        <f t="shared" si="2465"/>
        <v>43437.921600000001</v>
      </c>
      <c r="ER211" s="62">
        <f t="shared" si="2465"/>
        <v>53773.479699999996</v>
      </c>
      <c r="ES211" s="62">
        <f t="shared" ref="ES211:EU214" si="2466">BN211*$FH211</f>
        <v>52820.893700000001</v>
      </c>
      <c r="ET211" s="62">
        <f t="shared" si="2466"/>
        <v>55392.875900000006</v>
      </c>
      <c r="EU211" s="62">
        <f t="shared" si="2466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53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 t="shared" si="2339"/>
        <v>1</v>
      </c>
      <c r="FS211" s="103" t="b">
        <f t="shared" si="2340"/>
        <v>1</v>
      </c>
      <c r="FT211" s="103" t="b">
        <f t="shared" si="2341"/>
        <v>1</v>
      </c>
      <c r="FU211" s="103" t="b">
        <f t="shared" si="2342"/>
        <v>0</v>
      </c>
      <c r="FV211" s="103" t="b">
        <f t="shared" si="2343"/>
        <v>1</v>
      </c>
      <c r="FW211" s="104" t="b">
        <f t="shared" si="2392"/>
        <v>0</v>
      </c>
      <c r="FX211" s="120" t="b">
        <f t="shared" si="2454"/>
        <v>1</v>
      </c>
      <c r="FY211" s="104" t="s">
        <v>491</v>
      </c>
      <c r="FZ211" s="104" t="b">
        <f t="shared" si="2455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56"/>
        <v>1</v>
      </c>
      <c r="GI211" s="8" t="b">
        <f t="shared" si="2457"/>
        <v>0</v>
      </c>
      <c r="GJ211" s="31" t="s">
        <v>203</v>
      </c>
    </row>
    <row r="212" spans="1:192" hidden="1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406"/>
        <v>нет минмакс</v>
      </c>
      <c r="Q212" s="95">
        <v>19435</v>
      </c>
      <c r="R212" s="95">
        <f t="shared" si="2407"/>
        <v>382286.45</v>
      </c>
      <c r="S212" s="114">
        <v>14494</v>
      </c>
      <c r="T212" s="114">
        <v>297127</v>
      </c>
      <c r="U212" s="131">
        <f t="shared" si="2408"/>
        <v>39</v>
      </c>
      <c r="V212" s="115">
        <f t="shared" si="2409"/>
        <v>13605</v>
      </c>
      <c r="W212" s="115">
        <f t="shared" si="2410"/>
        <v>267610.35000000003</v>
      </c>
      <c r="X212" s="115">
        <f t="shared" si="2411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412"/>
        <v>0</v>
      </c>
      <c r="AF212" s="95">
        <f t="shared" si="2413"/>
        <v>0</v>
      </c>
      <c r="AG212" s="114">
        <v>0</v>
      </c>
      <c r="AH212" s="95">
        <f t="shared" si="2414"/>
        <v>13605</v>
      </c>
      <c r="AI212" s="114">
        <f t="shared" si="2415"/>
        <v>267610.35000000003</v>
      </c>
      <c r="AJ212" s="114">
        <f t="shared" si="2416"/>
        <v>4624</v>
      </c>
      <c r="AK212" s="114">
        <f t="shared" si="2417"/>
        <v>22087</v>
      </c>
      <c r="AL212" s="114">
        <f t="shared" si="2418"/>
        <v>46919</v>
      </c>
      <c r="AM212" s="114">
        <f t="shared" si="2419"/>
        <v>82677</v>
      </c>
      <c r="AN212" s="133">
        <f t="shared" si="2420"/>
        <v>31.555571682571937</v>
      </c>
      <c r="AO212" s="133" t="str">
        <f t="shared" si="2421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422"/>
        <v>0-02</v>
      </c>
      <c r="AW212" s="126">
        <f t="shared" si="2423"/>
        <v>0</v>
      </c>
      <c r="AX212" s="138"/>
      <c r="AY212" s="115">
        <f t="shared" si="2424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25"/>
        <v>0</v>
      </c>
      <c r="BG212" s="32">
        <v>0</v>
      </c>
      <c r="BH212" s="32">
        <f t="shared" si="2426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27"/>
        <v>13779.5</v>
      </c>
      <c r="BR212" s="95">
        <f t="shared" si="2428"/>
        <v>7023</v>
      </c>
      <c r="BS212" s="133">
        <f t="shared" si="2459"/>
        <v>-7392</v>
      </c>
      <c r="BT212" s="133">
        <f t="shared" si="2459"/>
        <v>-21202</v>
      </c>
      <c r="BU212" s="133">
        <f t="shared" si="2459"/>
        <v>-35104</v>
      </c>
      <c r="BV212" s="133">
        <f t="shared" si="2459"/>
        <v>-49173</v>
      </c>
      <c r="BW212" s="133">
        <f t="shared" si="2459"/>
        <v>-63242</v>
      </c>
      <c r="BX212" s="133">
        <f t="shared" ref="BX212:CO213" si="2467">BW212-$BQ212</f>
        <v>-77021.5</v>
      </c>
      <c r="BY212" s="133">
        <f t="shared" si="2467"/>
        <v>-90801</v>
      </c>
      <c r="BZ212" s="133">
        <f t="shared" si="2467"/>
        <v>-104580.5</v>
      </c>
      <c r="CA212" s="133">
        <f t="shared" si="2467"/>
        <v>-118360</v>
      </c>
      <c r="CB212" s="133">
        <f t="shared" si="2467"/>
        <v>-132139.5</v>
      </c>
      <c r="CC212" s="133">
        <f t="shared" si="2467"/>
        <v>-145919</v>
      </c>
      <c r="CD212" s="133">
        <f t="shared" si="2467"/>
        <v>-159698.5</v>
      </c>
      <c r="CE212" s="133">
        <f t="shared" si="2467"/>
        <v>-173478</v>
      </c>
      <c r="CF212" s="133">
        <f t="shared" si="2467"/>
        <v>-187257.5</v>
      </c>
      <c r="CG212" s="133">
        <f t="shared" si="2467"/>
        <v>-201037</v>
      </c>
      <c r="CH212" s="133">
        <f t="shared" si="2467"/>
        <v>-214816.5</v>
      </c>
      <c r="CI212" s="133">
        <f t="shared" si="2467"/>
        <v>-228596</v>
      </c>
      <c r="CJ212" s="133">
        <f t="shared" si="2467"/>
        <v>-242375.5</v>
      </c>
      <c r="CK212" s="133">
        <f t="shared" si="2467"/>
        <v>-256155</v>
      </c>
      <c r="CL212" s="133">
        <f t="shared" si="2467"/>
        <v>-269934.5</v>
      </c>
      <c r="CM212" s="133">
        <f t="shared" si="2467"/>
        <v>-283714</v>
      </c>
      <c r="CN212" s="133">
        <f t="shared" si="2467"/>
        <v>-297493.5</v>
      </c>
      <c r="CO212" s="133">
        <f t="shared" si="2467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30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68">IFERROR(CZ212/CY212,0)</f>
        <v>0</v>
      </c>
      <c r="DB212" s="4">
        <f t="shared" ref="DB212:DB215" si="2469">CY212*FH212</f>
        <v>0</v>
      </c>
      <c r="DC212" s="4">
        <f t="shared" ref="DC212:DC215" si="2470">CZ212*FH212</f>
        <v>0</v>
      </c>
      <c r="DD212" s="136">
        <f t="shared" ref="DD212:DD215" si="2471">IFERROR(DC212/DB212,0)</f>
        <v>0</v>
      </c>
      <c r="DE212" s="31">
        <v>0</v>
      </c>
      <c r="DG212" s="31">
        <v>0</v>
      </c>
      <c r="DH212" s="48">
        <f t="shared" si="2431"/>
        <v>0</v>
      </c>
      <c r="DI212" s="62">
        <v>36493</v>
      </c>
      <c r="DJ212" s="62">
        <v>747993.86</v>
      </c>
      <c r="DK212" s="48">
        <f t="shared" si="2432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33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34"/>
        <v>41</v>
      </c>
      <c r="DV212" s="62">
        <v>4078</v>
      </c>
      <c r="DW212" s="62">
        <v>83587.17550363607</v>
      </c>
      <c r="DX212" s="62">
        <f t="shared" si="2435"/>
        <v>0</v>
      </c>
      <c r="DY212" s="62">
        <f t="shared" si="2436"/>
        <v>0</v>
      </c>
      <c r="DZ212" s="48">
        <f t="shared" si="2437"/>
        <v>0</v>
      </c>
      <c r="EA212" s="62">
        <f t="shared" si="2438"/>
        <v>0</v>
      </c>
      <c r="EB212" s="62">
        <f t="shared" si="2439"/>
        <v>0</v>
      </c>
      <c r="EC212" s="48">
        <f t="shared" si="2440"/>
        <v>0</v>
      </c>
      <c r="ED212" s="62">
        <f t="shared" si="2441"/>
        <v>0</v>
      </c>
      <c r="EE212" s="62">
        <f t="shared" si="2442"/>
        <v>0</v>
      </c>
      <c r="EF212" s="48">
        <f t="shared" si="2443"/>
        <v>0</v>
      </c>
      <c r="EG212" s="62">
        <f t="shared" si="2444"/>
        <v>0</v>
      </c>
      <c r="EH212" s="62">
        <f t="shared" si="2445"/>
        <v>0</v>
      </c>
      <c r="EI212" s="48">
        <f t="shared" si="2446"/>
        <v>0</v>
      </c>
      <c r="EJ212" s="62">
        <f t="shared" si="2447"/>
        <v>0</v>
      </c>
      <c r="EK212" s="62">
        <f t="shared" si="2448"/>
        <v>0</v>
      </c>
      <c r="EL212" s="48">
        <f t="shared" si="2449"/>
        <v>0</v>
      </c>
      <c r="EM212" s="62">
        <f t="shared" si="2450"/>
        <v>0</v>
      </c>
      <c r="EN212" s="62">
        <f t="shared" si="2451"/>
        <v>0</v>
      </c>
      <c r="EO212" s="48">
        <f t="shared" si="2452"/>
        <v>0</v>
      </c>
      <c r="EP212" s="62">
        <f t="shared" si="2465"/>
        <v>244144.04</v>
      </c>
      <c r="EQ212" s="62">
        <f t="shared" si="2465"/>
        <v>283543.05000000005</v>
      </c>
      <c r="ER212" s="62">
        <f t="shared" si="2465"/>
        <v>271642.7</v>
      </c>
      <c r="ES212" s="62">
        <f t="shared" si="2466"/>
        <v>273452.34000000003</v>
      </c>
      <c r="ET212" s="62">
        <f t="shared" si="2466"/>
        <v>276737.23000000004</v>
      </c>
      <c r="EU212" s="62">
        <f t="shared" si="2466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53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 t="shared" si="2339"/>
        <v>1</v>
      </c>
      <c r="FS212" s="120" t="b">
        <f t="shared" si="2340"/>
        <v>1</v>
      </c>
      <c r="FT212" s="120" t="b">
        <f t="shared" si="2341"/>
        <v>1</v>
      </c>
      <c r="FU212" s="120" t="b">
        <f t="shared" si="2342"/>
        <v>1</v>
      </c>
      <c r="FV212" s="120" t="b">
        <f t="shared" si="2343"/>
        <v>1</v>
      </c>
      <c r="FW212" s="104" t="b">
        <f t="shared" si="2392"/>
        <v>0</v>
      </c>
      <c r="FX212" s="120" t="b">
        <f t="shared" si="2454"/>
        <v>1</v>
      </c>
      <c r="FY212" s="104" t="s">
        <v>368</v>
      </c>
      <c r="FZ212" s="104" t="b">
        <f t="shared" si="2455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56"/>
        <v>1</v>
      </c>
      <c r="GI212" s="8" t="b">
        <f t="shared" si="2457"/>
        <v>0</v>
      </c>
      <c r="GJ212" s="31" t="s">
        <v>203</v>
      </c>
    </row>
    <row r="213" spans="1:192" hidden="1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406"/>
        <v>нет минмакс</v>
      </c>
      <c r="Q213" s="95">
        <v>43392</v>
      </c>
      <c r="R213" s="95">
        <f t="shared" si="2407"/>
        <v>418298.88</v>
      </c>
      <c r="S213" s="114">
        <v>48840</v>
      </c>
      <c r="T213" s="114">
        <v>470817.60000000003</v>
      </c>
      <c r="U213" s="131">
        <f t="shared" si="2408"/>
        <v>59</v>
      </c>
      <c r="V213" s="115">
        <f t="shared" si="2409"/>
        <v>43372</v>
      </c>
      <c r="W213" s="115">
        <f t="shared" si="2410"/>
        <v>418106.08</v>
      </c>
      <c r="X213" s="115">
        <f t="shared" si="2411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412"/>
        <v>0</v>
      </c>
      <c r="AF213" s="95">
        <f t="shared" si="2413"/>
        <v>0</v>
      </c>
      <c r="AG213" s="114">
        <v>0</v>
      </c>
      <c r="AH213" s="95">
        <f t="shared" si="2414"/>
        <v>43372</v>
      </c>
      <c r="AI213" s="114">
        <f t="shared" si="2415"/>
        <v>418106.08</v>
      </c>
      <c r="AJ213" s="114">
        <f t="shared" si="2416"/>
        <v>5448</v>
      </c>
      <c r="AK213" s="114">
        <f t="shared" si="2417"/>
        <v>5448</v>
      </c>
      <c r="AL213" s="114">
        <f t="shared" si="2418"/>
        <v>5448</v>
      </c>
      <c r="AM213" s="114">
        <f t="shared" si="2419"/>
        <v>0</v>
      </c>
      <c r="AN213" s="133" t="str">
        <f t="shared" si="2420"/>
        <v>нет оборота</v>
      </c>
      <c r="AO213" s="133" t="str">
        <f t="shared" si="2421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422"/>
        <v>Нет планов</v>
      </c>
      <c r="AW213" s="126">
        <f t="shared" si="2423"/>
        <v>418106.08</v>
      </c>
      <c r="AX213" s="14">
        <f>MONTH(BC213)-6</f>
        <v>3</v>
      </c>
      <c r="AY213" s="115">
        <f t="shared" si="2424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25"/>
        <v>0</v>
      </c>
      <c r="BG213" s="32">
        <v>0</v>
      </c>
      <c r="BH213" s="32">
        <f t="shared" si="2426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27"/>
        <v>0</v>
      </c>
      <c r="BR213" s="95">
        <f t="shared" si="2428"/>
        <v>43372</v>
      </c>
      <c r="BS213" s="133">
        <f t="shared" si="2459"/>
        <v>43372</v>
      </c>
      <c r="BT213" s="133">
        <f t="shared" si="2459"/>
        <v>43372</v>
      </c>
      <c r="BU213" s="133">
        <f t="shared" si="2459"/>
        <v>43372</v>
      </c>
      <c r="BV213" s="133">
        <f t="shared" si="2459"/>
        <v>43372</v>
      </c>
      <c r="BW213" s="133">
        <f t="shared" si="2459"/>
        <v>43372</v>
      </c>
      <c r="BX213" s="133">
        <f t="shared" si="2467"/>
        <v>43372</v>
      </c>
      <c r="BY213" s="133">
        <f t="shared" si="2467"/>
        <v>43372</v>
      </c>
      <c r="BZ213" s="133">
        <f t="shared" si="2467"/>
        <v>43372</v>
      </c>
      <c r="CA213" s="133">
        <f t="shared" si="2467"/>
        <v>43372</v>
      </c>
      <c r="CB213" s="133">
        <f t="shared" si="2467"/>
        <v>43372</v>
      </c>
      <c r="CC213" s="133">
        <f t="shared" si="2467"/>
        <v>43372</v>
      </c>
      <c r="CD213" s="133">
        <f t="shared" si="2467"/>
        <v>43372</v>
      </c>
      <c r="CE213" s="133">
        <f t="shared" si="2467"/>
        <v>43372</v>
      </c>
      <c r="CF213" s="133">
        <f t="shared" si="2467"/>
        <v>43372</v>
      </c>
      <c r="CG213" s="133">
        <f t="shared" si="2467"/>
        <v>43372</v>
      </c>
      <c r="CH213" s="133">
        <f t="shared" si="2467"/>
        <v>43372</v>
      </c>
      <c r="CI213" s="133">
        <f t="shared" si="2467"/>
        <v>43372</v>
      </c>
      <c r="CJ213" s="133">
        <f t="shared" si="2467"/>
        <v>43372</v>
      </c>
      <c r="CK213" s="133">
        <f t="shared" si="2467"/>
        <v>43372</v>
      </c>
      <c r="CL213" s="133">
        <f t="shared" si="2467"/>
        <v>43372</v>
      </c>
      <c r="CM213" s="133">
        <f t="shared" si="2467"/>
        <v>43372</v>
      </c>
      <c r="CN213" s="133">
        <f t="shared" si="2467"/>
        <v>43372</v>
      </c>
      <c r="CO213" s="133">
        <f t="shared" si="2467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30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68"/>
        <v>0</v>
      </c>
      <c r="DB213" s="4">
        <f t="shared" si="2469"/>
        <v>0</v>
      </c>
      <c r="DC213" s="4">
        <f t="shared" si="2470"/>
        <v>0</v>
      </c>
      <c r="DD213" s="136">
        <f t="shared" si="2471"/>
        <v>0</v>
      </c>
      <c r="DE213" s="31">
        <v>0</v>
      </c>
      <c r="DG213" s="31">
        <v>0</v>
      </c>
      <c r="DH213" s="48">
        <f t="shared" si="2431"/>
        <v>0</v>
      </c>
      <c r="DI213" s="62">
        <v>0</v>
      </c>
      <c r="DJ213" s="62">
        <v>0</v>
      </c>
      <c r="DK213" s="48">
        <f t="shared" si="2432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33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34"/>
        <v>11</v>
      </c>
      <c r="DV213" s="62">
        <v>0</v>
      </c>
      <c r="DW213" s="62">
        <v>0</v>
      </c>
      <c r="DX213" s="62">
        <f t="shared" si="2435"/>
        <v>0</v>
      </c>
      <c r="DY213" s="62">
        <f t="shared" si="2436"/>
        <v>0</v>
      </c>
      <c r="DZ213" s="48">
        <f t="shared" si="2437"/>
        <v>0</v>
      </c>
      <c r="EA213" s="62">
        <f t="shared" si="2438"/>
        <v>0</v>
      </c>
      <c r="EB213" s="62">
        <f t="shared" si="2439"/>
        <v>0</v>
      </c>
      <c r="EC213" s="48">
        <f t="shared" si="2440"/>
        <v>0</v>
      </c>
      <c r="ED213" s="62">
        <f t="shared" si="2441"/>
        <v>0</v>
      </c>
      <c r="EE213" s="62">
        <f t="shared" si="2442"/>
        <v>0</v>
      </c>
      <c r="EF213" s="48">
        <f t="shared" si="2443"/>
        <v>0</v>
      </c>
      <c r="EG213" s="62">
        <f t="shared" si="2444"/>
        <v>0</v>
      </c>
      <c r="EH213" s="62">
        <f t="shared" si="2445"/>
        <v>0</v>
      </c>
      <c r="EI213" s="48">
        <f t="shared" si="2446"/>
        <v>0</v>
      </c>
      <c r="EJ213" s="62">
        <f t="shared" si="2447"/>
        <v>0</v>
      </c>
      <c r="EK213" s="62">
        <f t="shared" si="2448"/>
        <v>0</v>
      </c>
      <c r="EL213" s="48">
        <f t="shared" si="2449"/>
        <v>0</v>
      </c>
      <c r="EM213" s="62">
        <f t="shared" si="2450"/>
        <v>0</v>
      </c>
      <c r="EN213" s="62">
        <f t="shared" si="2451"/>
        <v>0</v>
      </c>
      <c r="EO213" s="48">
        <f t="shared" si="2452"/>
        <v>0</v>
      </c>
      <c r="EP213" s="62">
        <f t="shared" si="2465"/>
        <v>0</v>
      </c>
      <c r="EQ213" s="62">
        <f t="shared" si="2465"/>
        <v>0</v>
      </c>
      <c r="ER213" s="62">
        <f t="shared" si="2465"/>
        <v>0</v>
      </c>
      <c r="ES213" s="62">
        <f t="shared" si="2466"/>
        <v>0</v>
      </c>
      <c r="ET213" s="62">
        <f t="shared" si="2466"/>
        <v>0</v>
      </c>
      <c r="EU213" s="62">
        <f t="shared" si="2466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53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 t="shared" si="2339"/>
        <v>1</v>
      </c>
      <c r="FS213" s="120" t="b">
        <f t="shared" si="2340"/>
        <v>1</v>
      </c>
      <c r="FT213" s="120" t="b">
        <f t="shared" si="2341"/>
        <v>1</v>
      </c>
      <c r="FU213" s="120" t="b">
        <f t="shared" si="2342"/>
        <v>1</v>
      </c>
      <c r="FV213" s="120" t="b">
        <f t="shared" si="2343"/>
        <v>1</v>
      </c>
      <c r="FW213" s="104" t="b">
        <f t="shared" si="2392"/>
        <v>0</v>
      </c>
      <c r="FX213" s="120" t="b">
        <f t="shared" si="2454"/>
        <v>1</v>
      </c>
      <c r="FY213" s="104" t="s">
        <v>214</v>
      </c>
      <c r="FZ213" s="104" t="b">
        <f t="shared" si="2455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56"/>
        <v>1</v>
      </c>
      <c r="GI213" s="8" t="b">
        <f t="shared" si="2457"/>
        <v>1</v>
      </c>
    </row>
    <row r="214" spans="1:192" ht="30" hidden="1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72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73">Q214*FH214</f>
        <v>256789.50000000003</v>
      </c>
      <c r="S214" s="131">
        <v>2075</v>
      </c>
      <c r="T214" s="131">
        <v>269791.5</v>
      </c>
      <c r="U214" s="131">
        <f t="shared" ref="U214:U217" si="2474">IFERROR(ROUNDUP(S214/$EX214,0)*$EY214,0)</f>
        <v>3</v>
      </c>
      <c r="V214" s="113">
        <f t="shared" ref="V214:V217" si="2475">SUM(Z214:AD214)</f>
        <v>1975</v>
      </c>
      <c r="W214" s="113">
        <f t="shared" ref="W214:W217" si="2476">V214*FH214</f>
        <v>256789.50000000003</v>
      </c>
      <c r="X214" s="113">
        <f t="shared" ref="X214:X217" si="2477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78">AA214*FH214</f>
        <v>0</v>
      </c>
      <c r="AF214" s="95">
        <f t="shared" ref="AF214:AF217" si="2479">AB214*FH214</f>
        <v>0</v>
      </c>
      <c r="AG214" s="114">
        <v>0</v>
      </c>
      <c r="AH214" s="95">
        <f t="shared" ref="AH214:AH217" si="2480">V214-AG214</f>
        <v>1975</v>
      </c>
      <c r="AI214" s="114">
        <f t="shared" ref="AI214:AI217" si="2481">IF(AH214&gt;0,AH214*FH214,0)</f>
        <v>256789.50000000003</v>
      </c>
      <c r="AJ214" s="133">
        <f t="shared" ref="AJ214:AJ217" si="2482">CU214</f>
        <v>100</v>
      </c>
      <c r="AK214" s="133">
        <f t="shared" ref="AK214:AK218" si="2483">SUM(CS214:CU214)</f>
        <v>100</v>
      </c>
      <c r="AL214" s="133">
        <f t="shared" ref="AL214:AL217" si="2484">SUM(CP214:CU214)</f>
        <v>125</v>
      </c>
      <c r="AM214" s="133">
        <f t="shared" ref="AM214:AM217" si="2485">SUM(BK214:BP214)</f>
        <v>0</v>
      </c>
      <c r="AN214" s="133" t="str">
        <f t="shared" ref="AN214:AN217" si="2486">IFERROR(S214/BQ214*30,"нет оборота")</f>
        <v>нет оборота</v>
      </c>
      <c r="AO214" s="133" t="str">
        <f t="shared" ref="AO214:AO217" si="2487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88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89">IF(AT214="Да",W214,0)</f>
        <v>256789.50000000003</v>
      </c>
      <c r="AX214" s="14"/>
      <c r="AY214" s="25">
        <f t="shared" ref="AY214:AY217" si="2490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91">BE214*FH214</f>
        <v>0</v>
      </c>
      <c r="BG214" s="32">
        <v>0</v>
      </c>
      <c r="BH214" s="32">
        <f t="shared" ref="BH214:BH217" si="2492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93">IF(COUNTIF(BK214:BP214,"&gt;0")=0,0,SUM(BK214:BP214)/COUNTIF(BK214:BP214,"&gt;0"))</f>
        <v>0</v>
      </c>
      <c r="BR214" s="95">
        <f t="shared" ref="BR214:BR217" si="2494">IF(OR(Q214=0,SUM(BK214:BP214)=0,V214&gt;Q214),V214-BK214,Q214-BK214)</f>
        <v>1975</v>
      </c>
      <c r="BS214" s="133">
        <f t="shared" si="2459"/>
        <v>1975</v>
      </c>
      <c r="BT214" s="133">
        <f t="shared" si="2459"/>
        <v>1975</v>
      </c>
      <c r="BU214" s="133">
        <f t="shared" si="2459"/>
        <v>1975</v>
      </c>
      <c r="BV214" s="133">
        <f t="shared" si="2459"/>
        <v>1975</v>
      </c>
      <c r="BW214" s="133">
        <f t="shared" si="2459"/>
        <v>1975</v>
      </c>
      <c r="BX214" s="133">
        <f t="shared" ref="BX214:CO215" si="2495">BW214-$BQ214</f>
        <v>1975</v>
      </c>
      <c r="BY214" s="133">
        <f t="shared" si="2495"/>
        <v>1975</v>
      </c>
      <c r="BZ214" s="133">
        <f t="shared" si="2495"/>
        <v>1975</v>
      </c>
      <c r="CA214" s="133">
        <f t="shared" si="2495"/>
        <v>1975</v>
      </c>
      <c r="CB214" s="133">
        <f t="shared" si="2495"/>
        <v>1975</v>
      </c>
      <c r="CC214" s="133">
        <f t="shared" si="2495"/>
        <v>1975</v>
      </c>
      <c r="CD214" s="133">
        <f t="shared" si="2495"/>
        <v>1975</v>
      </c>
      <c r="CE214" s="133">
        <f t="shared" si="2495"/>
        <v>1975</v>
      </c>
      <c r="CF214" s="133">
        <f t="shared" si="2495"/>
        <v>1975</v>
      </c>
      <c r="CG214" s="133">
        <f t="shared" si="2495"/>
        <v>1975</v>
      </c>
      <c r="CH214" s="133">
        <f t="shared" si="2495"/>
        <v>1975</v>
      </c>
      <c r="CI214" s="133">
        <f t="shared" si="2495"/>
        <v>1975</v>
      </c>
      <c r="CJ214" s="133">
        <f t="shared" si="2495"/>
        <v>1975</v>
      </c>
      <c r="CK214" s="133">
        <f t="shared" si="2495"/>
        <v>1975</v>
      </c>
      <c r="CL214" s="133">
        <f t="shared" si="2495"/>
        <v>1975</v>
      </c>
      <c r="CM214" s="133">
        <f t="shared" si="2495"/>
        <v>1975</v>
      </c>
      <c r="CN214" s="133">
        <f t="shared" si="2495"/>
        <v>1975</v>
      </c>
      <c r="CO214" s="133">
        <f t="shared" si="2495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96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68"/>
        <v>0</v>
      </c>
      <c r="DB214" s="4">
        <f t="shared" si="2469"/>
        <v>0</v>
      </c>
      <c r="DC214" s="4">
        <f t="shared" si="2470"/>
        <v>0</v>
      </c>
      <c r="DD214" s="136">
        <f t="shared" si="2471"/>
        <v>0</v>
      </c>
      <c r="DE214" s="31">
        <v>0</v>
      </c>
      <c r="DF214" s="31">
        <v>30</v>
      </c>
      <c r="DG214" s="31">
        <v>1700</v>
      </c>
      <c r="DH214" s="48">
        <f t="shared" ref="DH214:DH217" si="2497">IFERROR(ROUNDUP(DG214/$EX214,0)*$EY214,0)</f>
        <v>3</v>
      </c>
      <c r="DI214" s="62">
        <v>2100</v>
      </c>
      <c r="DJ214" s="62">
        <v>273041.16000000003</v>
      </c>
      <c r="DK214" s="48">
        <f t="shared" ref="DK214:DK217" si="2498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99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500">IFERROR(ROUNDUP(DS214/$EX214,0)*$EY214,0)</f>
        <v>3</v>
      </c>
      <c r="DV214" s="62">
        <v>0</v>
      </c>
      <c r="DW214" s="62">
        <v>0</v>
      </c>
      <c r="DX214" s="62">
        <f t="shared" ref="DX214:DX217" si="2501">$DF214*BK214/30</f>
        <v>0</v>
      </c>
      <c r="DY214" s="62">
        <f t="shared" ref="DY214:DY217" si="2502">DX214*$FH214</f>
        <v>0</v>
      </c>
      <c r="DZ214" s="48">
        <f t="shared" ref="DZ214:DZ217" si="2503">IFERROR(ROUNDUP(DX214/$EX214,0)*$EY214,0)</f>
        <v>0</v>
      </c>
      <c r="EA214" s="62">
        <f t="shared" ref="EA214:EA217" si="2504">$DF214*BL214/30</f>
        <v>0</v>
      </c>
      <c r="EB214" s="62">
        <f t="shared" ref="EB214:EB217" si="2505">EA214*$FH214</f>
        <v>0</v>
      </c>
      <c r="EC214" s="48">
        <f t="shared" ref="EC214:EC217" si="2506">IFERROR(ROUNDUP(EA214/$EX214,0)*$EY214,0)</f>
        <v>0</v>
      </c>
      <c r="ED214" s="62">
        <f t="shared" ref="ED214:ED217" si="2507">$DF214*BM214/30</f>
        <v>0</v>
      </c>
      <c r="EE214" s="62">
        <f t="shared" ref="EE214:EE217" si="2508">ED214*$FH214</f>
        <v>0</v>
      </c>
      <c r="EF214" s="48">
        <f t="shared" ref="EF214:EF217" si="2509">IFERROR(ROUNDUP(ED214/$EX214,0)*$EY214,0)</f>
        <v>0</v>
      </c>
      <c r="EG214" s="62">
        <f t="shared" ref="EG214:EG217" si="2510">$DF214*BN214/30</f>
        <v>0</v>
      </c>
      <c r="EH214" s="62">
        <f t="shared" ref="EH214:EH217" si="2511">EG214*$FH214</f>
        <v>0</v>
      </c>
      <c r="EI214" s="48">
        <f t="shared" ref="EI214:EI217" si="2512">IFERROR(ROUNDUP(EG214/$EX214,0)*$EY214,0)</f>
        <v>0</v>
      </c>
      <c r="EJ214" s="62">
        <f t="shared" ref="EJ214:EJ217" si="2513">$DF214*BO214/30</f>
        <v>0</v>
      </c>
      <c r="EK214" s="62">
        <f t="shared" ref="EK214:EK217" si="2514">EJ214*$FH214</f>
        <v>0</v>
      </c>
      <c r="EL214" s="48">
        <f t="shared" ref="EL214:EL217" si="2515">IFERROR(ROUNDUP(EJ214/$EX214,0)*$EY214,0)</f>
        <v>0</v>
      </c>
      <c r="EM214" s="62">
        <f t="shared" ref="EM214:EM217" si="2516">$DF214*BP214/30</f>
        <v>0</v>
      </c>
      <c r="EN214" s="62">
        <f t="shared" ref="EN214:EN217" si="2517">EM214*$FH214</f>
        <v>0</v>
      </c>
      <c r="EO214" s="48">
        <f t="shared" ref="EO214:EO217" si="2518">IFERROR(ROUNDUP(EM214/$EX214,0)*$EY214,0)</f>
        <v>0</v>
      </c>
      <c r="EP214" s="62">
        <f t="shared" si="2465"/>
        <v>0</v>
      </c>
      <c r="EQ214" s="62">
        <f t="shared" si="2465"/>
        <v>0</v>
      </c>
      <c r="ER214" s="62">
        <f t="shared" si="2465"/>
        <v>0</v>
      </c>
      <c r="ES214" s="62">
        <f t="shared" si="2466"/>
        <v>0</v>
      </c>
      <c r="ET214" s="62">
        <f t="shared" si="2466"/>
        <v>0</v>
      </c>
      <c r="EU214" s="62">
        <f t="shared" si="2466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519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 t="shared" si="2339"/>
        <v>1</v>
      </c>
      <c r="FS214" s="103" t="b">
        <f t="shared" si="2340"/>
        <v>1</v>
      </c>
      <c r="FT214" s="103" t="b">
        <f t="shared" si="2341"/>
        <v>1</v>
      </c>
      <c r="FU214" s="103" t="b">
        <f t="shared" si="2342"/>
        <v>0</v>
      </c>
      <c r="FV214" s="103" t="b">
        <f t="shared" si="2343"/>
        <v>1</v>
      </c>
      <c r="FW214" s="104" t="b">
        <f t="shared" si="2392"/>
        <v>0</v>
      </c>
      <c r="FX214" s="120" t="b">
        <f t="shared" ref="FX214:FX217" si="2520">EXACT(FQ214,BI214)</f>
        <v>1</v>
      </c>
      <c r="FY214" s="104" t="s">
        <v>368</v>
      </c>
      <c r="FZ214" s="104" t="b">
        <f t="shared" ref="FZ214:FZ217" si="2521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522">EXACT(GD214,C214)</f>
        <v>1</v>
      </c>
      <c r="GI214" s="8" t="b">
        <f t="shared" ref="GI214:GI217" si="2523">EXACT(GG214,G214)</f>
        <v>0</v>
      </c>
      <c r="GJ214" s="31" t="s">
        <v>203</v>
      </c>
    </row>
    <row r="215" spans="1:192" hidden="1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72"/>
        <v>меньше мин</v>
      </c>
      <c r="Q215" s="95">
        <v>1124.2899990081787</v>
      </c>
      <c r="R215" s="95">
        <f t="shared" si="2473"/>
        <v>825858.46167144773</v>
      </c>
      <c r="S215" s="131">
        <v>355.33500957489014</v>
      </c>
      <c r="T215" s="131">
        <v>260442.79526791573</v>
      </c>
      <c r="U215" s="131">
        <f t="shared" si="2474"/>
        <v>1.5</v>
      </c>
      <c r="V215" s="113">
        <f t="shared" si="2475"/>
        <v>1641.9149932861328</v>
      </c>
      <c r="W215" s="113">
        <f t="shared" si="2476"/>
        <v>1206085.0774682616</v>
      </c>
      <c r="X215" s="113">
        <f t="shared" si="2477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78"/>
        <v>0</v>
      </c>
      <c r="AF215" s="95">
        <f t="shared" si="2479"/>
        <v>734560</v>
      </c>
      <c r="AG215" s="114">
        <v>0</v>
      </c>
      <c r="AH215" s="95">
        <f t="shared" si="2480"/>
        <v>1641.9149932861328</v>
      </c>
      <c r="AI215" s="114">
        <f t="shared" si="2481"/>
        <v>1206085.0774682616</v>
      </c>
      <c r="AJ215" s="133">
        <f t="shared" si="2482"/>
        <v>669</v>
      </c>
      <c r="AK215" s="133">
        <f t="shared" si="2483"/>
        <v>2200</v>
      </c>
      <c r="AL215" s="133">
        <f t="shared" si="2484"/>
        <v>3160</v>
      </c>
      <c r="AM215" s="133">
        <f t="shared" si="2485"/>
        <v>4688.82</v>
      </c>
      <c r="AN215" s="133">
        <f t="shared" si="2486"/>
        <v>13.641023055583331</v>
      </c>
      <c r="AO215" s="133" t="str">
        <f t="shared" si="2487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88"/>
        <v>0-03</v>
      </c>
      <c r="AW215" s="117">
        <f t="shared" si="2489"/>
        <v>0</v>
      </c>
      <c r="AX215" s="14"/>
      <c r="AY215" s="25">
        <f t="shared" si="2490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91"/>
        <v>0</v>
      </c>
      <c r="BG215" s="32">
        <v>0</v>
      </c>
      <c r="BH215" s="32">
        <f t="shared" si="2492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93"/>
        <v>781.46999999999991</v>
      </c>
      <c r="BR215" s="95">
        <f t="shared" si="2494"/>
        <v>885.82499328613278</v>
      </c>
      <c r="BS215" s="133">
        <f t="shared" ref="BS215:BW217" si="2524">BR215-BL215</f>
        <v>184.83499328613277</v>
      </c>
      <c r="BT215" s="133">
        <f t="shared" si="2524"/>
        <v>-607.53500671386723</v>
      </c>
      <c r="BU215" s="133">
        <f t="shared" si="2524"/>
        <v>-1435.0250067138672</v>
      </c>
      <c r="BV215" s="133">
        <f t="shared" si="2524"/>
        <v>-2241.8450067138674</v>
      </c>
      <c r="BW215" s="133">
        <f t="shared" si="2524"/>
        <v>-3046.9050067138674</v>
      </c>
      <c r="BX215" s="133">
        <f t="shared" si="2495"/>
        <v>-3828.3750067138672</v>
      </c>
      <c r="BY215" s="133">
        <f t="shared" si="2495"/>
        <v>-4609.8450067138674</v>
      </c>
      <c r="BZ215" s="133">
        <f t="shared" si="2495"/>
        <v>-5391.3150067138677</v>
      </c>
      <c r="CA215" s="133">
        <f t="shared" ref="CA215:CO215" si="2525">BZ215-$BQ215</f>
        <v>-6172.7850067138679</v>
      </c>
      <c r="CB215" s="133">
        <f t="shared" si="2525"/>
        <v>-6954.2550067138682</v>
      </c>
      <c r="CC215" s="133">
        <f t="shared" si="2525"/>
        <v>-7735.7250067138684</v>
      </c>
      <c r="CD215" s="133">
        <f t="shared" si="2525"/>
        <v>-8517.1950067138678</v>
      </c>
      <c r="CE215" s="133">
        <f t="shared" si="2525"/>
        <v>-9298.6650067138671</v>
      </c>
      <c r="CF215" s="133">
        <f t="shared" si="2525"/>
        <v>-10080.135006713866</v>
      </c>
      <c r="CG215" s="133">
        <f t="shared" si="2525"/>
        <v>-10861.605006713866</v>
      </c>
      <c r="CH215" s="133">
        <f t="shared" si="2525"/>
        <v>-11643.075006713865</v>
      </c>
      <c r="CI215" s="133">
        <f t="shared" si="2525"/>
        <v>-12424.545006713864</v>
      </c>
      <c r="CJ215" s="133">
        <f t="shared" si="2525"/>
        <v>-13206.015006713864</v>
      </c>
      <c r="CK215" s="133">
        <f t="shared" si="2525"/>
        <v>-13987.485006713863</v>
      </c>
      <c r="CL215" s="133">
        <f t="shared" si="2525"/>
        <v>-14768.955006713863</v>
      </c>
      <c r="CM215" s="133">
        <f t="shared" si="2525"/>
        <v>-15550.425006713862</v>
      </c>
      <c r="CN215" s="133">
        <f t="shared" si="2525"/>
        <v>-16331.895006713861</v>
      </c>
      <c r="CO215" s="133">
        <f t="shared" si="2525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96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68"/>
        <v>0</v>
      </c>
      <c r="DB215" s="4">
        <f t="shared" si="2469"/>
        <v>0</v>
      </c>
      <c r="DC215" s="4">
        <f t="shared" si="2470"/>
        <v>0</v>
      </c>
      <c r="DD215" s="136">
        <f t="shared" si="2471"/>
        <v>0</v>
      </c>
      <c r="DE215" s="31">
        <v>0</v>
      </c>
      <c r="DF215" s="31">
        <v>30</v>
      </c>
      <c r="DG215" s="31">
        <v>450</v>
      </c>
      <c r="DH215" s="48">
        <f t="shared" si="2497"/>
        <v>1.5</v>
      </c>
      <c r="DI215" s="62">
        <v>668.48900000000003</v>
      </c>
      <c r="DJ215" s="62">
        <v>476910.90299999999</v>
      </c>
      <c r="DK215" s="48">
        <f t="shared" si="2498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99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500"/>
        <v>1.5</v>
      </c>
      <c r="DV215" s="62">
        <v>662.16499999999951</v>
      </c>
      <c r="DW215" s="62">
        <v>472705.74922901165</v>
      </c>
      <c r="DX215" s="62">
        <f t="shared" si="2501"/>
        <v>756.09</v>
      </c>
      <c r="DY215" s="62">
        <f t="shared" si="2502"/>
        <v>555393.47039999999</v>
      </c>
      <c r="DZ215" s="48">
        <f t="shared" si="2503"/>
        <v>1.5</v>
      </c>
      <c r="EA215" s="62">
        <f t="shared" si="2504"/>
        <v>700.99</v>
      </c>
      <c r="EB215" s="62">
        <f t="shared" si="2505"/>
        <v>514919.2144</v>
      </c>
      <c r="EC215" s="48">
        <f t="shared" si="2506"/>
        <v>1.5</v>
      </c>
      <c r="ED215" s="62">
        <f t="shared" si="2507"/>
        <v>792.37</v>
      </c>
      <c r="EE215" s="62">
        <f t="shared" si="2508"/>
        <v>582043.30719999992</v>
      </c>
      <c r="EF215" s="48">
        <f t="shared" si="2509"/>
        <v>1.5</v>
      </c>
      <c r="EG215" s="62">
        <f t="shared" si="2510"/>
        <v>827.49</v>
      </c>
      <c r="EH215" s="62">
        <f t="shared" si="2511"/>
        <v>607841.05439999991</v>
      </c>
      <c r="EI215" s="48">
        <f t="shared" si="2512"/>
        <v>1.5</v>
      </c>
      <c r="EJ215" s="62">
        <f t="shared" si="2513"/>
        <v>806.82</v>
      </c>
      <c r="EK215" s="62">
        <f t="shared" si="2514"/>
        <v>592657.69920000003</v>
      </c>
      <c r="EL215" s="48">
        <f t="shared" si="2515"/>
        <v>1.5</v>
      </c>
      <c r="EM215" s="62">
        <f t="shared" si="2516"/>
        <v>805.06</v>
      </c>
      <c r="EN215" s="62">
        <f t="shared" si="2517"/>
        <v>591364.87359999993</v>
      </c>
      <c r="EO215" s="48">
        <f t="shared" si="2518"/>
        <v>1.5</v>
      </c>
      <c r="EP215" s="62">
        <f t="shared" si="2465"/>
        <v>555393.47039999999</v>
      </c>
      <c r="EQ215" s="62">
        <f t="shared" si="2465"/>
        <v>514919.2144</v>
      </c>
      <c r="ER215" s="62">
        <f t="shared" si="2465"/>
        <v>582043.30719999992</v>
      </c>
      <c r="ES215" s="62">
        <f t="shared" si="2465"/>
        <v>607841.05439999991</v>
      </c>
      <c r="ET215" s="62">
        <f t="shared" si="2465"/>
        <v>592657.69920000003</v>
      </c>
      <c r="EU215" s="62">
        <f t="shared" si="2465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519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 t="shared" si="2339"/>
        <v>0</v>
      </c>
      <c r="FS215" s="103" t="b">
        <f t="shared" si="2340"/>
        <v>0</v>
      </c>
      <c r="FT215" s="103" t="b">
        <f t="shared" si="2341"/>
        <v>0</v>
      </c>
      <c r="FU215" s="103" t="b">
        <f t="shared" si="2342"/>
        <v>0</v>
      </c>
      <c r="FV215" s="103" t="b">
        <f t="shared" si="2343"/>
        <v>1</v>
      </c>
      <c r="FW215" s="104" t="b">
        <f t="shared" si="2392"/>
        <v>0</v>
      </c>
      <c r="FX215" s="120" t="b">
        <f t="shared" si="2520"/>
        <v>1</v>
      </c>
      <c r="FY215" s="104" t="s">
        <v>368</v>
      </c>
      <c r="FZ215" s="104" t="b">
        <f t="shared" si="2521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522"/>
        <v>1</v>
      </c>
      <c r="GI215" s="8" t="b">
        <f t="shared" si="2523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72"/>
        <v>нет минмакс</v>
      </c>
      <c r="Q216" s="95">
        <v>137</v>
      </c>
      <c r="R216" s="95">
        <f t="shared" si="2473"/>
        <v>206757.66</v>
      </c>
      <c r="S216" s="131">
        <v>162</v>
      </c>
      <c r="T216" s="131">
        <v>244487.16</v>
      </c>
      <c r="U216" s="131">
        <f t="shared" si="2474"/>
        <v>0</v>
      </c>
      <c r="V216" s="113">
        <f t="shared" si="2475"/>
        <v>137</v>
      </c>
      <c r="W216" s="113">
        <f t="shared" si="2476"/>
        <v>206757.66</v>
      </c>
      <c r="X216" s="113">
        <f t="shared" si="2477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78"/>
        <v>0</v>
      </c>
      <c r="AF216" s="95">
        <f t="shared" si="2479"/>
        <v>0</v>
      </c>
      <c r="AG216" s="114">
        <v>0</v>
      </c>
      <c r="AH216" s="95">
        <f t="shared" si="2480"/>
        <v>137</v>
      </c>
      <c r="AI216" s="114">
        <f t="shared" si="2481"/>
        <v>206757.66</v>
      </c>
      <c r="AJ216" s="133">
        <f t="shared" si="2482"/>
        <v>25</v>
      </c>
      <c r="AK216" s="133">
        <f t="shared" si="2483"/>
        <v>25</v>
      </c>
      <c r="AL216" s="133">
        <f t="shared" si="2484"/>
        <v>25</v>
      </c>
      <c r="AM216" s="133">
        <f t="shared" si="2485"/>
        <v>0</v>
      </c>
      <c r="AN216" s="133" t="str">
        <f t="shared" si="2486"/>
        <v>нет оборота</v>
      </c>
      <c r="AO216" s="133" t="str">
        <f t="shared" si="2487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88"/>
        <v>Нет планов</v>
      </c>
      <c r="AW216" s="117">
        <f t="shared" si="2489"/>
        <v>206757.66</v>
      </c>
      <c r="AX216" s="14">
        <f t="shared" ref="AX216" si="2526">MONTH(BC216)-6</f>
        <v>6</v>
      </c>
      <c r="AY216" s="25">
        <f t="shared" si="2490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91"/>
        <v>0</v>
      </c>
      <c r="BG216" s="32">
        <v>0</v>
      </c>
      <c r="BH216" s="32">
        <f t="shared" si="2492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93"/>
        <v>0</v>
      </c>
      <c r="BR216" s="95">
        <f t="shared" si="2494"/>
        <v>137</v>
      </c>
      <c r="BS216" s="133">
        <f t="shared" si="2524"/>
        <v>137</v>
      </c>
      <c r="BT216" s="133">
        <f t="shared" si="2524"/>
        <v>137</v>
      </c>
      <c r="BU216" s="133">
        <f t="shared" si="2524"/>
        <v>137</v>
      </c>
      <c r="BV216" s="133">
        <f t="shared" si="2524"/>
        <v>137</v>
      </c>
      <c r="BW216" s="133">
        <f t="shared" si="2524"/>
        <v>137</v>
      </c>
      <c r="BX216" s="133">
        <f t="shared" ref="BX216:CO217" si="2527">BW216-$BQ216</f>
        <v>137</v>
      </c>
      <c r="BY216" s="133">
        <f t="shared" si="2527"/>
        <v>137</v>
      </c>
      <c r="BZ216" s="133">
        <f t="shared" si="2527"/>
        <v>137</v>
      </c>
      <c r="CA216" s="133">
        <f t="shared" si="2527"/>
        <v>137</v>
      </c>
      <c r="CB216" s="133">
        <f t="shared" si="2527"/>
        <v>137</v>
      </c>
      <c r="CC216" s="133">
        <f t="shared" si="2527"/>
        <v>137</v>
      </c>
      <c r="CD216" s="133">
        <f t="shared" si="2527"/>
        <v>137</v>
      </c>
      <c r="CE216" s="133">
        <f t="shared" si="2527"/>
        <v>137</v>
      </c>
      <c r="CF216" s="133">
        <f t="shared" si="2527"/>
        <v>137</v>
      </c>
      <c r="CG216" s="133">
        <f t="shared" si="2527"/>
        <v>137</v>
      </c>
      <c r="CH216" s="133">
        <f t="shared" si="2527"/>
        <v>137</v>
      </c>
      <c r="CI216" s="133">
        <f t="shared" si="2527"/>
        <v>137</v>
      </c>
      <c r="CJ216" s="133">
        <f t="shared" si="2527"/>
        <v>137</v>
      </c>
      <c r="CK216" s="133">
        <f t="shared" si="2527"/>
        <v>137</v>
      </c>
      <c r="CL216" s="133">
        <f t="shared" si="2527"/>
        <v>137</v>
      </c>
      <c r="CM216" s="133">
        <f t="shared" si="2527"/>
        <v>137</v>
      </c>
      <c r="CN216" s="133">
        <f t="shared" si="2527"/>
        <v>137</v>
      </c>
      <c r="CO216" s="133">
        <f t="shared" si="2527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96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28">IFERROR(CZ216/CY216,0)</f>
        <v>0</v>
      </c>
      <c r="DB216" s="4">
        <f t="shared" ref="DB216:DB223" si="2529">CY216*FH216</f>
        <v>0</v>
      </c>
      <c r="DC216" s="4">
        <f t="shared" ref="DC216:DC223" si="2530">CZ216*FH216</f>
        <v>0</v>
      </c>
      <c r="DD216" s="136">
        <f t="shared" ref="DD216:DD223" si="2531">IFERROR(DC216/DB216,0)</f>
        <v>0</v>
      </c>
      <c r="DE216" s="31">
        <v>0</v>
      </c>
      <c r="DF216" s="31">
        <v>45</v>
      </c>
      <c r="DG216" s="31">
        <v>0</v>
      </c>
      <c r="DH216" s="48">
        <f t="shared" si="2497"/>
        <v>0</v>
      </c>
      <c r="DI216" s="62">
        <v>162</v>
      </c>
      <c r="DJ216" s="62">
        <v>244486.82</v>
      </c>
      <c r="DK216" s="48">
        <f t="shared" si="2498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99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500"/>
        <v>0</v>
      </c>
      <c r="DV216" s="62">
        <v>0</v>
      </c>
      <c r="DW216" s="62">
        <v>0</v>
      </c>
      <c r="DX216" s="62">
        <f t="shared" si="2501"/>
        <v>0</v>
      </c>
      <c r="DY216" s="62">
        <f t="shared" si="2502"/>
        <v>0</v>
      </c>
      <c r="DZ216" s="48">
        <f t="shared" si="2503"/>
        <v>0</v>
      </c>
      <c r="EA216" s="62">
        <f t="shared" si="2504"/>
        <v>0</v>
      </c>
      <c r="EB216" s="62">
        <f t="shared" si="2505"/>
        <v>0</v>
      </c>
      <c r="EC216" s="48">
        <f t="shared" si="2506"/>
        <v>0</v>
      </c>
      <c r="ED216" s="62">
        <f t="shared" si="2507"/>
        <v>0</v>
      </c>
      <c r="EE216" s="62">
        <f t="shared" si="2508"/>
        <v>0</v>
      </c>
      <c r="EF216" s="48">
        <f t="shared" si="2509"/>
        <v>0</v>
      </c>
      <c r="EG216" s="62">
        <f t="shared" si="2510"/>
        <v>0</v>
      </c>
      <c r="EH216" s="62">
        <f t="shared" si="2511"/>
        <v>0</v>
      </c>
      <c r="EI216" s="48">
        <f t="shared" si="2512"/>
        <v>0</v>
      </c>
      <c r="EJ216" s="62">
        <f t="shared" si="2513"/>
        <v>0</v>
      </c>
      <c r="EK216" s="62">
        <f t="shared" si="2514"/>
        <v>0</v>
      </c>
      <c r="EL216" s="48">
        <f t="shared" si="2515"/>
        <v>0</v>
      </c>
      <c r="EM216" s="62">
        <f t="shared" si="2516"/>
        <v>0</v>
      </c>
      <c r="EN216" s="62">
        <f t="shared" si="2517"/>
        <v>0</v>
      </c>
      <c r="EO216" s="48">
        <f t="shared" si="2518"/>
        <v>0</v>
      </c>
      <c r="EP216" s="62">
        <f t="shared" ref="EP216:EU217" si="2532">BK216*$FH216</f>
        <v>0</v>
      </c>
      <c r="EQ216" s="62">
        <f t="shared" si="2532"/>
        <v>0</v>
      </c>
      <c r="ER216" s="62">
        <f t="shared" si="2532"/>
        <v>0</v>
      </c>
      <c r="ES216" s="62">
        <f t="shared" si="2532"/>
        <v>0</v>
      </c>
      <c r="ET216" s="62">
        <f t="shared" si="2532"/>
        <v>0</v>
      </c>
      <c r="EU216" s="62">
        <f t="shared" si="2532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519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 t="shared" si="2339"/>
        <v>1</v>
      </c>
      <c r="FS216" s="103" t="b">
        <f t="shared" si="2340"/>
        <v>1</v>
      </c>
      <c r="FT216" s="103" t="b">
        <f t="shared" si="2341"/>
        <v>1</v>
      </c>
      <c r="FU216" s="103" t="b">
        <f t="shared" si="2342"/>
        <v>0</v>
      </c>
      <c r="FV216" s="103" t="b">
        <f t="shared" si="2343"/>
        <v>1</v>
      </c>
      <c r="FW216" s="104" t="b">
        <f t="shared" si="2392"/>
        <v>0</v>
      </c>
      <c r="FX216" s="120" t="b">
        <f t="shared" si="2520"/>
        <v>1</v>
      </c>
      <c r="FY216" s="104" t="s">
        <v>491</v>
      </c>
      <c r="FZ216" s="104" t="b">
        <f t="shared" si="2521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522"/>
        <v>1</v>
      </c>
      <c r="GI216" s="8" t="b">
        <f t="shared" si="2523"/>
        <v>0</v>
      </c>
      <c r="GJ216" s="31" t="s">
        <v>203</v>
      </c>
    </row>
    <row r="217" spans="1:192" hidden="1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72"/>
        <v>нет минмакс</v>
      </c>
      <c r="Q217" s="95">
        <v>109215</v>
      </c>
      <c r="R217" s="95">
        <f t="shared" si="2473"/>
        <v>78634.8</v>
      </c>
      <c r="S217" s="114">
        <v>336920</v>
      </c>
      <c r="T217" s="114">
        <v>242582.39999999999</v>
      </c>
      <c r="U217" s="131">
        <f t="shared" si="2474"/>
        <v>11</v>
      </c>
      <c r="V217" s="115">
        <f t="shared" si="2475"/>
        <v>29855</v>
      </c>
      <c r="W217" s="115">
        <f t="shared" si="2476"/>
        <v>21495.599999999999</v>
      </c>
      <c r="X217" s="115">
        <f t="shared" si="2477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78"/>
        <v>0</v>
      </c>
      <c r="AF217" s="95">
        <f t="shared" si="2479"/>
        <v>0</v>
      </c>
      <c r="AG217" s="114">
        <v>0</v>
      </c>
      <c r="AH217" s="95">
        <f t="shared" si="2480"/>
        <v>29855</v>
      </c>
      <c r="AI217" s="114">
        <f t="shared" si="2481"/>
        <v>21495.599999999999</v>
      </c>
      <c r="AJ217" s="114">
        <f t="shared" si="2482"/>
        <v>70575</v>
      </c>
      <c r="AK217" s="114">
        <f t="shared" si="2483"/>
        <v>272010</v>
      </c>
      <c r="AL217" s="114">
        <f t="shared" si="2484"/>
        <v>351766</v>
      </c>
      <c r="AM217" s="114">
        <f t="shared" si="2485"/>
        <v>835757</v>
      </c>
      <c r="AN217" s="133">
        <f t="shared" si="2486"/>
        <v>72.5636758052879</v>
      </c>
      <c r="AO217" s="133" t="str">
        <f t="shared" si="2487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88"/>
        <v>0-01</v>
      </c>
      <c r="AW217" s="126">
        <f t="shared" si="2489"/>
        <v>0</v>
      </c>
      <c r="AX217" s="138"/>
      <c r="AY217" s="115">
        <f t="shared" si="2490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91"/>
        <v>0</v>
      </c>
      <c r="BG217" s="32">
        <v>0</v>
      </c>
      <c r="BH217" s="32">
        <f t="shared" si="2492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93"/>
        <v>139292.83333333334</v>
      </c>
      <c r="BR217" s="95">
        <f t="shared" si="2494"/>
        <v>-19310</v>
      </c>
      <c r="BS217" s="133">
        <f t="shared" si="2524"/>
        <v>-149320</v>
      </c>
      <c r="BT217" s="133">
        <f t="shared" si="2524"/>
        <v>-294457</v>
      </c>
      <c r="BU217" s="133">
        <f t="shared" si="2524"/>
        <v>-441178</v>
      </c>
      <c r="BV217" s="133">
        <f t="shared" si="2524"/>
        <v>-582942</v>
      </c>
      <c r="BW217" s="133">
        <f t="shared" si="2524"/>
        <v>-726542</v>
      </c>
      <c r="BX217" s="133">
        <f t="shared" si="2527"/>
        <v>-865834.83333333337</v>
      </c>
      <c r="BY217" s="133">
        <f t="shared" si="2527"/>
        <v>-1005127.6666666667</v>
      </c>
      <c r="BZ217" s="133">
        <f t="shared" si="2527"/>
        <v>-1144420.5</v>
      </c>
      <c r="CA217" s="133">
        <f t="shared" si="2527"/>
        <v>-1283713.3333333333</v>
      </c>
      <c r="CB217" s="133">
        <f t="shared" si="2527"/>
        <v>-1423006.1666666665</v>
      </c>
      <c r="CC217" s="133">
        <f t="shared" si="2527"/>
        <v>-1562298.9999999998</v>
      </c>
      <c r="CD217" s="133">
        <f t="shared" si="2527"/>
        <v>-1701591.833333333</v>
      </c>
      <c r="CE217" s="133">
        <f t="shared" si="2527"/>
        <v>-1840884.6666666663</v>
      </c>
      <c r="CF217" s="133">
        <f t="shared" si="2527"/>
        <v>-1980177.4999999995</v>
      </c>
      <c r="CG217" s="133">
        <f t="shared" si="2527"/>
        <v>-2119470.333333333</v>
      </c>
      <c r="CH217" s="133">
        <f t="shared" si="2527"/>
        <v>-2258763.1666666665</v>
      </c>
      <c r="CI217" s="133">
        <f t="shared" si="2527"/>
        <v>-2398056</v>
      </c>
      <c r="CJ217" s="133">
        <f t="shared" si="2527"/>
        <v>-2537348.8333333335</v>
      </c>
      <c r="CK217" s="133">
        <f t="shared" si="2527"/>
        <v>-2676641.666666667</v>
      </c>
      <c r="CL217" s="133">
        <f t="shared" si="2527"/>
        <v>-2815934.5000000005</v>
      </c>
      <c r="CM217" s="133">
        <f t="shared" si="2527"/>
        <v>-2955227.333333334</v>
      </c>
      <c r="CN217" s="133">
        <f t="shared" si="2527"/>
        <v>-3094520.1666666674</v>
      </c>
      <c r="CO217" s="133">
        <f t="shared" si="2527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96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28"/>
        <v>0</v>
      </c>
      <c r="DB217" s="4">
        <f t="shared" si="2529"/>
        <v>0</v>
      </c>
      <c r="DC217" s="4">
        <f t="shared" si="2530"/>
        <v>0</v>
      </c>
      <c r="DD217" s="136">
        <f t="shared" si="2531"/>
        <v>0</v>
      </c>
      <c r="DE217" s="31">
        <v>0</v>
      </c>
      <c r="DG217" s="31">
        <v>0</v>
      </c>
      <c r="DH217" s="48">
        <f t="shared" si="2497"/>
        <v>0</v>
      </c>
      <c r="DI217" s="62">
        <v>408935.96799999999</v>
      </c>
      <c r="DJ217" s="62">
        <v>295120.55599999998</v>
      </c>
      <c r="DK217" s="48">
        <f t="shared" si="2498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99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500"/>
        <v>12</v>
      </c>
      <c r="DV217" s="62">
        <v>44295</v>
      </c>
      <c r="DW217" s="62">
        <v>31966.671207563944</v>
      </c>
      <c r="DX217" s="62">
        <f t="shared" si="2501"/>
        <v>0</v>
      </c>
      <c r="DY217" s="62">
        <f t="shared" si="2502"/>
        <v>0</v>
      </c>
      <c r="DZ217" s="48">
        <f t="shared" si="2503"/>
        <v>0</v>
      </c>
      <c r="EA217" s="62">
        <f t="shared" si="2504"/>
        <v>0</v>
      </c>
      <c r="EB217" s="62">
        <f t="shared" si="2505"/>
        <v>0</v>
      </c>
      <c r="EC217" s="48">
        <f t="shared" si="2506"/>
        <v>0</v>
      </c>
      <c r="ED217" s="62">
        <f t="shared" si="2507"/>
        <v>0</v>
      </c>
      <c r="EE217" s="62">
        <f t="shared" si="2508"/>
        <v>0</v>
      </c>
      <c r="EF217" s="48">
        <f t="shared" si="2509"/>
        <v>0</v>
      </c>
      <c r="EG217" s="62">
        <f t="shared" si="2510"/>
        <v>0</v>
      </c>
      <c r="EH217" s="62">
        <f t="shared" si="2511"/>
        <v>0</v>
      </c>
      <c r="EI217" s="48">
        <f t="shared" si="2512"/>
        <v>0</v>
      </c>
      <c r="EJ217" s="62">
        <f t="shared" si="2513"/>
        <v>0</v>
      </c>
      <c r="EK217" s="62">
        <f t="shared" si="2514"/>
        <v>0</v>
      </c>
      <c r="EL217" s="48">
        <f t="shared" si="2515"/>
        <v>0</v>
      </c>
      <c r="EM217" s="62">
        <f t="shared" si="2516"/>
        <v>0</v>
      </c>
      <c r="EN217" s="62">
        <f t="shared" si="2517"/>
        <v>0</v>
      </c>
      <c r="EO217" s="48">
        <f t="shared" si="2518"/>
        <v>0</v>
      </c>
      <c r="EP217" s="62">
        <f t="shared" si="2532"/>
        <v>92538</v>
      </c>
      <c r="EQ217" s="62">
        <f t="shared" si="2532"/>
        <v>93607.2</v>
      </c>
      <c r="ER217" s="62">
        <f t="shared" si="2532"/>
        <v>104498.64</v>
      </c>
      <c r="ES217" s="62">
        <f t="shared" si="2532"/>
        <v>105639.12</v>
      </c>
      <c r="ET217" s="62">
        <f t="shared" si="2532"/>
        <v>102070.08</v>
      </c>
      <c r="EU217" s="62">
        <f t="shared" si="2532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519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 t="shared" si="2339"/>
        <v>1</v>
      </c>
      <c r="FS217" s="120" t="b">
        <f t="shared" si="2340"/>
        <v>1</v>
      </c>
      <c r="FT217" s="120" t="b">
        <f t="shared" si="2341"/>
        <v>1</v>
      </c>
      <c r="FU217" s="120" t="b">
        <f t="shared" si="2342"/>
        <v>1</v>
      </c>
      <c r="FV217" s="120" t="b">
        <f t="shared" si="2343"/>
        <v>1</v>
      </c>
      <c r="FW217" s="104" t="b">
        <f t="shared" si="2392"/>
        <v>0</v>
      </c>
      <c r="FX217" s="120" t="b">
        <f t="shared" si="2520"/>
        <v>1</v>
      </c>
      <c r="FY217" s="104" t="s">
        <v>368</v>
      </c>
      <c r="FZ217" s="104" t="b">
        <f t="shared" si="2521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522"/>
        <v>1</v>
      </c>
      <c r="GI217" s="8" t="b">
        <f t="shared" si="2523"/>
        <v>0</v>
      </c>
      <c r="GJ217" s="31" t="s">
        <v>203</v>
      </c>
    </row>
    <row r="218" spans="1:192" ht="30" hidden="1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33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34">Q218*FH218</f>
        <v>195715.15404235839</v>
      </c>
      <c r="S218" s="114">
        <v>1508.8609619140625</v>
      </c>
      <c r="T218" s="114">
        <v>229075.27123779297</v>
      </c>
      <c r="U218" s="131">
        <f t="shared" ref="U218:U223" si="2535">IFERROR(ROUNDUP(S218/$EX218,0)*$EY218,0)</f>
        <v>0</v>
      </c>
      <c r="V218" s="115">
        <f t="shared" ref="V218:V223" si="2536">SUM(Z218:AD218)</f>
        <v>723.30000305175781</v>
      </c>
      <c r="W218" s="115">
        <f t="shared" ref="W218:W223" si="2537">V218*FH218</f>
        <v>104856.80144241333</v>
      </c>
      <c r="X218" s="115">
        <f t="shared" ref="X218:X223" si="2538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39">AA218*FH218</f>
        <v>0</v>
      </c>
      <c r="AF218" s="95">
        <f t="shared" ref="AF218:AF223" si="2540">AB218*FH218</f>
        <v>0</v>
      </c>
      <c r="AG218" s="114">
        <v>0</v>
      </c>
      <c r="AH218" s="95">
        <f t="shared" ref="AH218:AH223" si="2541">V218-AG218</f>
        <v>723.30000305175781</v>
      </c>
      <c r="AI218" s="114">
        <f t="shared" ref="AI218:AI223" si="2542">IF(AH218&gt;0,AH218*FH218,0)</f>
        <v>104856.80144241333</v>
      </c>
      <c r="AJ218" s="114">
        <f t="shared" ref="AJ218:AJ223" si="2543">CU218</f>
        <v>0</v>
      </c>
      <c r="AK218" s="114">
        <f t="shared" si="2483"/>
        <v>2057</v>
      </c>
      <c r="AL218" s="114">
        <f t="shared" ref="AL218:AL223" si="2544">SUM(CP218:CU218)</f>
        <v>5992</v>
      </c>
      <c r="AM218" s="114">
        <f t="shared" ref="AM218:AM223" si="2545">SUM(BK218:BP218)</f>
        <v>0</v>
      </c>
      <c r="AN218" s="133" t="str">
        <f t="shared" ref="AN218:AN223" si="2546">IFERROR(S218/BQ218*30,"нет оборота")</f>
        <v>нет оборота</v>
      </c>
      <c r="AO218" s="133" t="str">
        <f t="shared" ref="AO218:AO223" si="2547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48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49">IF(AT218="Да",W218,0)</f>
        <v>104856.80144241333</v>
      </c>
      <c r="AX218" s="138"/>
      <c r="AY218" s="115">
        <f t="shared" ref="AY218:AY223" si="2550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51">BE218*FH218</f>
        <v>0</v>
      </c>
      <c r="BG218" s="32">
        <v>0</v>
      </c>
      <c r="BH218" s="32">
        <f t="shared" ref="BH218:BH223" si="2552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53">IF(COUNTIF(BK218:BP218,"&gt;0")=0,0,SUM(BK218:BP218)/COUNTIF(BK218:BP218,"&gt;0"))</f>
        <v>0</v>
      </c>
      <c r="BR218" s="95">
        <f t="shared" ref="BR218:BR223" si="2554">IF(OR(Q218=0,SUM(BK218:BP218)=0,V218&gt;Q218),V218-BK218,Q218-BK218)</f>
        <v>723.30000305175781</v>
      </c>
      <c r="BS218" s="133">
        <f t="shared" ref="BS218:BW223" si="2555">BR218-BL218</f>
        <v>723.30000305175781</v>
      </c>
      <c r="BT218" s="133">
        <f t="shared" si="2555"/>
        <v>723.30000305175781</v>
      </c>
      <c r="BU218" s="133">
        <f t="shared" si="2555"/>
        <v>723.30000305175781</v>
      </c>
      <c r="BV218" s="133">
        <f t="shared" si="2555"/>
        <v>723.30000305175781</v>
      </c>
      <c r="BW218" s="133">
        <f t="shared" si="2555"/>
        <v>723.30000305175781</v>
      </c>
      <c r="BX218" s="133">
        <f t="shared" ref="BX218:CO220" si="2556">BW218-$BQ218</f>
        <v>723.30000305175781</v>
      </c>
      <c r="BY218" s="133">
        <f t="shared" si="2556"/>
        <v>723.30000305175781</v>
      </c>
      <c r="BZ218" s="133">
        <f t="shared" si="2556"/>
        <v>723.30000305175781</v>
      </c>
      <c r="CA218" s="133">
        <f t="shared" si="2556"/>
        <v>723.30000305175781</v>
      </c>
      <c r="CB218" s="133">
        <f t="shared" si="2556"/>
        <v>723.30000305175781</v>
      </c>
      <c r="CC218" s="133">
        <f t="shared" si="2556"/>
        <v>723.30000305175781</v>
      </c>
      <c r="CD218" s="133">
        <f t="shared" si="2556"/>
        <v>723.30000305175781</v>
      </c>
      <c r="CE218" s="133">
        <f t="shared" si="2556"/>
        <v>723.30000305175781</v>
      </c>
      <c r="CF218" s="133">
        <f t="shared" si="2556"/>
        <v>723.30000305175781</v>
      </c>
      <c r="CG218" s="133">
        <f t="shared" si="2556"/>
        <v>723.30000305175781</v>
      </c>
      <c r="CH218" s="133">
        <f t="shared" si="2556"/>
        <v>723.30000305175781</v>
      </c>
      <c r="CI218" s="133">
        <f t="shared" si="2556"/>
        <v>723.30000305175781</v>
      </c>
      <c r="CJ218" s="133">
        <f t="shared" si="2556"/>
        <v>723.30000305175781</v>
      </c>
      <c r="CK218" s="133">
        <f t="shared" si="2556"/>
        <v>723.30000305175781</v>
      </c>
      <c r="CL218" s="133">
        <f t="shared" si="2556"/>
        <v>723.30000305175781</v>
      </c>
      <c r="CM218" s="133">
        <f t="shared" si="2556"/>
        <v>723.30000305175781</v>
      </c>
      <c r="CN218" s="133">
        <f t="shared" si="2556"/>
        <v>723.30000305175781</v>
      </c>
      <c r="CO218" s="133">
        <f t="shared" si="2556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57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28"/>
        <v>0</v>
      </c>
      <c r="DB218" s="4">
        <f t="shared" si="2529"/>
        <v>0</v>
      </c>
      <c r="DC218" s="4">
        <f t="shared" si="2530"/>
        <v>0</v>
      </c>
      <c r="DD218" s="136">
        <f t="shared" si="2531"/>
        <v>0</v>
      </c>
      <c r="DE218" s="31">
        <v>0</v>
      </c>
      <c r="DG218" s="31">
        <v>0</v>
      </c>
      <c r="DH218" s="48">
        <f t="shared" ref="DH218:DH223" si="2558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59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60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61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62">$DF218*BK218/30</f>
        <v>0</v>
      </c>
      <c r="DY218" s="62">
        <f t="shared" ref="DY218:DY223" si="2563">DX218*$FH218</f>
        <v>0</v>
      </c>
      <c r="DZ218" s="48">
        <f t="shared" ref="DZ218:DZ223" si="2564">IFERROR(ROUNDUP(DX218/$EX218,0)*$EY218,0)</f>
        <v>0</v>
      </c>
      <c r="EA218" s="62">
        <f t="shared" ref="EA218:EA223" si="2565">$DF218*BL218/30</f>
        <v>0</v>
      </c>
      <c r="EB218" s="62">
        <f t="shared" ref="EB218:EB223" si="2566">EA218*$FH218</f>
        <v>0</v>
      </c>
      <c r="EC218" s="48">
        <f t="shared" ref="EC218:EC223" si="2567">IFERROR(ROUNDUP(EA218/$EX218,0)*$EY218,0)</f>
        <v>0</v>
      </c>
      <c r="ED218" s="62">
        <f t="shared" ref="ED218:ED223" si="2568">$DF218*BM218/30</f>
        <v>0</v>
      </c>
      <c r="EE218" s="62">
        <f t="shared" ref="EE218:EE223" si="2569">ED218*$FH218</f>
        <v>0</v>
      </c>
      <c r="EF218" s="48">
        <f t="shared" ref="EF218:EF223" si="2570">IFERROR(ROUNDUP(ED218/$EX218,0)*$EY218,0)</f>
        <v>0</v>
      </c>
      <c r="EG218" s="62">
        <f t="shared" ref="EG218:EG223" si="2571">$DF218*BN218/30</f>
        <v>0</v>
      </c>
      <c r="EH218" s="62">
        <f t="shared" ref="EH218:EH223" si="2572">EG218*$FH218</f>
        <v>0</v>
      </c>
      <c r="EI218" s="48">
        <f t="shared" ref="EI218:EI223" si="2573">IFERROR(ROUNDUP(EG218/$EX218,0)*$EY218,0)</f>
        <v>0</v>
      </c>
      <c r="EJ218" s="62">
        <f t="shared" ref="EJ218:EJ223" si="2574">$DF218*BO218/30</f>
        <v>0</v>
      </c>
      <c r="EK218" s="62">
        <f t="shared" ref="EK218:EK223" si="2575">EJ218*$FH218</f>
        <v>0</v>
      </c>
      <c r="EL218" s="48">
        <f t="shared" ref="EL218:EL223" si="2576">IFERROR(ROUNDUP(EJ218/$EX218,0)*$EY218,0)</f>
        <v>0</v>
      </c>
      <c r="EM218" s="62">
        <f t="shared" ref="EM218:EM223" si="2577">$DF218*BP218/30</f>
        <v>0</v>
      </c>
      <c r="EN218" s="62">
        <f t="shared" ref="EN218:EN223" si="2578">EM218*$FH218</f>
        <v>0</v>
      </c>
      <c r="EO218" s="48">
        <f t="shared" ref="EO218:EO223" si="2579">IFERROR(ROUNDUP(EM218/$EX218,0)*$EY218,0)</f>
        <v>0</v>
      </c>
      <c r="EP218" s="62">
        <f t="shared" ref="EP218:ER223" si="2580">BK218*$FH218</f>
        <v>0</v>
      </c>
      <c r="EQ218" s="62">
        <f t="shared" si="2580"/>
        <v>0</v>
      </c>
      <c r="ER218" s="62">
        <f t="shared" si="2580"/>
        <v>0</v>
      </c>
      <c r="ES218" s="62">
        <f t="shared" ref="ES218:EU223" si="2581">BN218*$FH218</f>
        <v>0</v>
      </c>
      <c r="ET218" s="62">
        <f t="shared" si="2581"/>
        <v>0</v>
      </c>
      <c r="EU218" s="62">
        <f t="shared" si="2581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82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 t="shared" si="2339"/>
        <v>1</v>
      </c>
      <c r="FS218" s="120" t="b">
        <f t="shared" si="2340"/>
        <v>1</v>
      </c>
      <c r="FT218" s="120" t="b">
        <f t="shared" si="2341"/>
        <v>1</v>
      </c>
      <c r="FU218" s="120" t="b">
        <f t="shared" si="2342"/>
        <v>1</v>
      </c>
      <c r="FV218" s="120" t="b">
        <f t="shared" si="2343"/>
        <v>1</v>
      </c>
      <c r="FW218" s="104" t="b">
        <f t="shared" si="2392"/>
        <v>0</v>
      </c>
      <c r="FX218" s="120" t="b">
        <f t="shared" ref="FX218:FX223" si="2583">EXACT(FQ218,BI218)</f>
        <v>1</v>
      </c>
      <c r="FY218" s="104" t="s">
        <v>368</v>
      </c>
      <c r="FZ218" s="104" t="b">
        <f t="shared" ref="FZ218:FZ223" si="2584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85">EXACT(GD218,C218)</f>
        <v>1</v>
      </c>
      <c r="GI218" s="8" t="b">
        <f t="shared" ref="GI218:GI223" si="2586">EXACT(GG218,G218)</f>
        <v>0</v>
      </c>
      <c r="GJ218" s="31" t="s">
        <v>203</v>
      </c>
    </row>
    <row r="219" spans="1:192" ht="30" hidden="1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33"/>
        <v>нет минмакс</v>
      </c>
      <c r="Q219" s="95">
        <v>1375</v>
      </c>
      <c r="R219" s="95">
        <f t="shared" si="2534"/>
        <v>223905</v>
      </c>
      <c r="S219" s="131">
        <v>1375</v>
      </c>
      <c r="T219" s="131">
        <v>223905</v>
      </c>
      <c r="U219" s="131">
        <f t="shared" si="2535"/>
        <v>3</v>
      </c>
      <c r="V219" s="113">
        <f t="shared" si="2536"/>
        <v>1375</v>
      </c>
      <c r="W219" s="113">
        <f t="shared" si="2537"/>
        <v>223905</v>
      </c>
      <c r="X219" s="113">
        <f t="shared" si="2538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39"/>
        <v>0</v>
      </c>
      <c r="AF219" s="95">
        <f t="shared" si="2540"/>
        <v>0</v>
      </c>
      <c r="AG219" s="114">
        <v>0</v>
      </c>
      <c r="AH219" s="95">
        <f t="shared" si="2541"/>
        <v>1375</v>
      </c>
      <c r="AI219" s="114">
        <f t="shared" si="2542"/>
        <v>223905</v>
      </c>
      <c r="AJ219" s="133">
        <f t="shared" si="2543"/>
        <v>0</v>
      </c>
      <c r="AK219" s="133">
        <f t="shared" ref="AK219:AK224" si="2587">SUM(CS219:CU219)</f>
        <v>0</v>
      </c>
      <c r="AL219" s="133">
        <f t="shared" si="2544"/>
        <v>0</v>
      </c>
      <c r="AM219" s="133">
        <f t="shared" si="2545"/>
        <v>0</v>
      </c>
      <c r="AN219" s="133" t="str">
        <f t="shared" si="2546"/>
        <v>нет оборота</v>
      </c>
      <c r="AO219" s="133" t="str">
        <f t="shared" si="2547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48"/>
        <v>Нет планов</v>
      </c>
      <c r="AW219" s="117">
        <f t="shared" si="2549"/>
        <v>223905</v>
      </c>
      <c r="AX219" s="14"/>
      <c r="AY219" s="25">
        <f t="shared" si="2550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51"/>
        <v>0</v>
      </c>
      <c r="BG219" s="32">
        <v>1375</v>
      </c>
      <c r="BH219" s="32">
        <f t="shared" si="2552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53"/>
        <v>0</v>
      </c>
      <c r="BR219" s="95">
        <f t="shared" si="2554"/>
        <v>1375</v>
      </c>
      <c r="BS219" s="133">
        <f t="shared" si="2555"/>
        <v>1375</v>
      </c>
      <c r="BT219" s="133">
        <f t="shared" si="2555"/>
        <v>1375</v>
      </c>
      <c r="BU219" s="133">
        <f t="shared" si="2555"/>
        <v>1375</v>
      </c>
      <c r="BV219" s="133">
        <f t="shared" si="2555"/>
        <v>1375</v>
      </c>
      <c r="BW219" s="133">
        <f t="shared" si="2555"/>
        <v>1375</v>
      </c>
      <c r="BX219" s="133">
        <f t="shared" si="2556"/>
        <v>1375</v>
      </c>
      <c r="BY219" s="133">
        <f t="shared" si="2556"/>
        <v>1375</v>
      </c>
      <c r="BZ219" s="133">
        <f t="shared" si="2556"/>
        <v>1375</v>
      </c>
      <c r="CA219" s="133">
        <f t="shared" si="2556"/>
        <v>1375</v>
      </c>
      <c r="CB219" s="133">
        <f t="shared" si="2556"/>
        <v>1375</v>
      </c>
      <c r="CC219" s="133">
        <f t="shared" si="2556"/>
        <v>1375</v>
      </c>
      <c r="CD219" s="133">
        <f t="shared" si="2556"/>
        <v>1375</v>
      </c>
      <c r="CE219" s="133">
        <f t="shared" si="2556"/>
        <v>1375</v>
      </c>
      <c r="CF219" s="133">
        <f t="shared" si="2556"/>
        <v>1375</v>
      </c>
      <c r="CG219" s="133">
        <f t="shared" si="2556"/>
        <v>1375</v>
      </c>
      <c r="CH219" s="133">
        <f t="shared" si="2556"/>
        <v>1375</v>
      </c>
      <c r="CI219" s="133">
        <f t="shared" si="2556"/>
        <v>1375</v>
      </c>
      <c r="CJ219" s="133">
        <f t="shared" si="2556"/>
        <v>1375</v>
      </c>
      <c r="CK219" s="133">
        <f t="shared" si="2556"/>
        <v>1375</v>
      </c>
      <c r="CL219" s="133">
        <f t="shared" si="2556"/>
        <v>1375</v>
      </c>
      <c r="CM219" s="133">
        <f t="shared" si="2556"/>
        <v>1375</v>
      </c>
      <c r="CN219" s="133">
        <f t="shared" si="2556"/>
        <v>1375</v>
      </c>
      <c r="CO219" s="133">
        <f t="shared" si="2556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57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28"/>
        <v>0</v>
      </c>
      <c r="DB219" s="4">
        <f t="shared" si="2529"/>
        <v>0</v>
      </c>
      <c r="DC219" s="4">
        <f t="shared" si="2530"/>
        <v>0</v>
      </c>
      <c r="DD219" s="136">
        <f t="shared" si="2531"/>
        <v>0</v>
      </c>
      <c r="DE219" s="31">
        <v>0</v>
      </c>
      <c r="DF219" s="31">
        <v>30</v>
      </c>
      <c r="DG219" s="31">
        <v>0</v>
      </c>
      <c r="DH219" s="48">
        <f t="shared" si="2558"/>
        <v>0</v>
      </c>
      <c r="DI219" s="62">
        <v>1375</v>
      </c>
      <c r="DJ219" s="62">
        <v>223905</v>
      </c>
      <c r="DK219" s="48">
        <f t="shared" si="2559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60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61"/>
        <v>3</v>
      </c>
      <c r="DV219" s="62">
        <v>0</v>
      </c>
      <c r="DW219" s="62">
        <v>0</v>
      </c>
      <c r="DX219" s="62">
        <f t="shared" si="2562"/>
        <v>0</v>
      </c>
      <c r="DY219" s="62">
        <f t="shared" si="2563"/>
        <v>0</v>
      </c>
      <c r="DZ219" s="48">
        <f t="shared" si="2564"/>
        <v>0</v>
      </c>
      <c r="EA219" s="62">
        <f t="shared" si="2565"/>
        <v>0</v>
      </c>
      <c r="EB219" s="62">
        <f t="shared" si="2566"/>
        <v>0</v>
      </c>
      <c r="EC219" s="48">
        <f t="shared" si="2567"/>
        <v>0</v>
      </c>
      <c r="ED219" s="62">
        <f t="shared" si="2568"/>
        <v>0</v>
      </c>
      <c r="EE219" s="62">
        <f t="shared" si="2569"/>
        <v>0</v>
      </c>
      <c r="EF219" s="48">
        <f t="shared" si="2570"/>
        <v>0</v>
      </c>
      <c r="EG219" s="62">
        <f t="shared" si="2571"/>
        <v>0</v>
      </c>
      <c r="EH219" s="62">
        <f t="shared" si="2572"/>
        <v>0</v>
      </c>
      <c r="EI219" s="48">
        <f t="shared" si="2573"/>
        <v>0</v>
      </c>
      <c r="EJ219" s="62">
        <f t="shared" si="2574"/>
        <v>0</v>
      </c>
      <c r="EK219" s="62">
        <f t="shared" si="2575"/>
        <v>0</v>
      </c>
      <c r="EL219" s="48">
        <f t="shared" si="2576"/>
        <v>0</v>
      </c>
      <c r="EM219" s="62">
        <f t="shared" si="2577"/>
        <v>0</v>
      </c>
      <c r="EN219" s="62">
        <f t="shared" si="2578"/>
        <v>0</v>
      </c>
      <c r="EO219" s="48">
        <f t="shared" si="2579"/>
        <v>0</v>
      </c>
      <c r="EP219" s="62">
        <f t="shared" si="2580"/>
        <v>0</v>
      </c>
      <c r="EQ219" s="62">
        <f t="shared" si="2580"/>
        <v>0</v>
      </c>
      <c r="ER219" s="62">
        <f t="shared" si="2580"/>
        <v>0</v>
      </c>
      <c r="ES219" s="62">
        <f t="shared" si="2581"/>
        <v>0</v>
      </c>
      <c r="ET219" s="62">
        <f t="shared" si="2581"/>
        <v>0</v>
      </c>
      <c r="EU219" s="62">
        <f t="shared" si="2581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82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 t="shared" si="2339"/>
        <v>1</v>
      </c>
      <c r="FS219" s="103" t="b">
        <f t="shared" si="2340"/>
        <v>1</v>
      </c>
      <c r="FT219" s="103" t="b">
        <f t="shared" si="2341"/>
        <v>1</v>
      </c>
      <c r="FU219" s="103" t="b">
        <f t="shared" si="2342"/>
        <v>0</v>
      </c>
      <c r="FV219" s="103" t="b">
        <f t="shared" si="2343"/>
        <v>1</v>
      </c>
      <c r="FW219" s="104" t="b">
        <f t="shared" si="2392"/>
        <v>0</v>
      </c>
      <c r="FX219" s="120" t="b">
        <f t="shared" si="2583"/>
        <v>1</v>
      </c>
      <c r="FY219" s="104" t="s">
        <v>368</v>
      </c>
      <c r="FZ219" s="104" t="b">
        <f t="shared" si="2584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85"/>
        <v>1</v>
      </c>
      <c r="GI219" s="8" t="b">
        <f t="shared" si="2586"/>
        <v>0</v>
      </c>
      <c r="GJ219" s="31" t="s">
        <v>203</v>
      </c>
    </row>
    <row r="220" spans="1:192" ht="30" hidden="1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33"/>
        <v>нет минмакс</v>
      </c>
      <c r="Q220" s="95">
        <v>69.300000011920929</v>
      </c>
      <c r="R220" s="95">
        <f t="shared" si="2534"/>
        <v>9340.2540016067032</v>
      </c>
      <c r="S220" s="114">
        <v>1524</v>
      </c>
      <c r="T220" s="114">
        <v>225689.16</v>
      </c>
      <c r="U220" s="131">
        <f t="shared" si="2535"/>
        <v>0</v>
      </c>
      <c r="V220" s="115">
        <f t="shared" si="2536"/>
        <v>453.29000854492188</v>
      </c>
      <c r="W220" s="115">
        <f t="shared" si="2537"/>
        <v>61094.427351684571</v>
      </c>
      <c r="X220" s="115">
        <f t="shared" si="2538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39"/>
        <v>0</v>
      </c>
      <c r="AF220" s="95">
        <f t="shared" si="2540"/>
        <v>0</v>
      </c>
      <c r="AG220" s="114">
        <v>0</v>
      </c>
      <c r="AH220" s="95">
        <f t="shared" si="2541"/>
        <v>453.29000854492188</v>
      </c>
      <c r="AI220" s="114">
        <f t="shared" si="2542"/>
        <v>61094.427351684571</v>
      </c>
      <c r="AJ220" s="114">
        <f t="shared" si="2543"/>
        <v>24</v>
      </c>
      <c r="AK220" s="114">
        <f t="shared" si="2587"/>
        <v>2646</v>
      </c>
      <c r="AL220" s="114">
        <f t="shared" si="2544"/>
        <v>4213</v>
      </c>
      <c r="AM220" s="114">
        <f t="shared" si="2545"/>
        <v>0</v>
      </c>
      <c r="AN220" s="133" t="str">
        <f t="shared" si="2546"/>
        <v>нет оборота</v>
      </c>
      <c r="AO220" s="133" t="str">
        <f t="shared" si="2547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48"/>
        <v>Нет планов</v>
      </c>
      <c r="AW220" s="126">
        <f t="shared" si="2549"/>
        <v>61094.427351684571</v>
      </c>
      <c r="AX220" s="138"/>
      <c r="AY220" s="115">
        <f t="shared" si="2550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51"/>
        <v>0</v>
      </c>
      <c r="BG220" s="32">
        <v>0</v>
      </c>
      <c r="BH220" s="32">
        <f t="shared" si="2552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53"/>
        <v>0</v>
      </c>
      <c r="BR220" s="95">
        <f t="shared" si="2554"/>
        <v>453.29000854492188</v>
      </c>
      <c r="BS220" s="133">
        <f t="shared" si="2555"/>
        <v>453.29000854492188</v>
      </c>
      <c r="BT220" s="133">
        <f t="shared" si="2555"/>
        <v>453.29000854492188</v>
      </c>
      <c r="BU220" s="133">
        <f t="shared" si="2555"/>
        <v>453.29000854492188</v>
      </c>
      <c r="BV220" s="133">
        <f t="shared" si="2555"/>
        <v>453.29000854492188</v>
      </c>
      <c r="BW220" s="133">
        <f t="shared" si="2555"/>
        <v>453.29000854492188</v>
      </c>
      <c r="BX220" s="133">
        <f t="shared" si="2556"/>
        <v>453.29000854492188</v>
      </c>
      <c r="BY220" s="133">
        <f t="shared" si="2556"/>
        <v>453.29000854492188</v>
      </c>
      <c r="BZ220" s="133">
        <f t="shared" si="2556"/>
        <v>453.29000854492188</v>
      </c>
      <c r="CA220" s="133">
        <f t="shared" si="2556"/>
        <v>453.29000854492188</v>
      </c>
      <c r="CB220" s="133">
        <f t="shared" si="2556"/>
        <v>453.29000854492188</v>
      </c>
      <c r="CC220" s="133">
        <f t="shared" si="2556"/>
        <v>453.29000854492188</v>
      </c>
      <c r="CD220" s="133">
        <f t="shared" si="2556"/>
        <v>453.29000854492188</v>
      </c>
      <c r="CE220" s="133">
        <f t="shared" si="2556"/>
        <v>453.29000854492188</v>
      </c>
      <c r="CF220" s="133">
        <f t="shared" si="2556"/>
        <v>453.29000854492188</v>
      </c>
      <c r="CG220" s="133">
        <f t="shared" si="2556"/>
        <v>453.29000854492188</v>
      </c>
      <c r="CH220" s="133">
        <f t="shared" si="2556"/>
        <v>453.29000854492188</v>
      </c>
      <c r="CI220" s="133">
        <f t="shared" si="2556"/>
        <v>453.29000854492188</v>
      </c>
      <c r="CJ220" s="133">
        <f t="shared" si="2556"/>
        <v>453.29000854492188</v>
      </c>
      <c r="CK220" s="133">
        <f t="shared" si="2556"/>
        <v>453.29000854492188</v>
      </c>
      <c r="CL220" s="133">
        <f t="shared" si="2556"/>
        <v>453.29000854492188</v>
      </c>
      <c r="CM220" s="133">
        <f t="shared" si="2556"/>
        <v>453.29000854492188</v>
      </c>
      <c r="CN220" s="133">
        <f t="shared" si="2556"/>
        <v>453.29000854492188</v>
      </c>
      <c r="CO220" s="133">
        <f t="shared" si="2556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57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28"/>
        <v>0</v>
      </c>
      <c r="DB220" s="4">
        <f t="shared" si="2529"/>
        <v>0</v>
      </c>
      <c r="DC220" s="4">
        <f t="shared" si="2530"/>
        <v>0</v>
      </c>
      <c r="DD220" s="136">
        <f t="shared" si="2531"/>
        <v>0</v>
      </c>
      <c r="DE220" s="31">
        <v>0</v>
      </c>
      <c r="DG220" s="31">
        <v>0</v>
      </c>
      <c r="DH220" s="48">
        <f t="shared" si="2558"/>
        <v>0</v>
      </c>
      <c r="DI220" s="62">
        <v>1653.8150000000001</v>
      </c>
      <c r="DJ220" s="62">
        <v>241821.12699999998</v>
      </c>
      <c r="DK220" s="48">
        <f t="shared" si="2559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60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61"/>
        <v>0</v>
      </c>
      <c r="DV220" s="62">
        <v>260.34100000000001</v>
      </c>
      <c r="DW220" s="62">
        <v>38301.096183419526</v>
      </c>
      <c r="DX220" s="62">
        <f t="shared" si="2562"/>
        <v>0</v>
      </c>
      <c r="DY220" s="62">
        <f t="shared" si="2563"/>
        <v>0</v>
      </c>
      <c r="DZ220" s="48">
        <f t="shared" si="2564"/>
        <v>0</v>
      </c>
      <c r="EA220" s="62">
        <f t="shared" si="2565"/>
        <v>0</v>
      </c>
      <c r="EB220" s="62">
        <f t="shared" si="2566"/>
        <v>0</v>
      </c>
      <c r="EC220" s="48">
        <f t="shared" si="2567"/>
        <v>0</v>
      </c>
      <c r="ED220" s="62">
        <f t="shared" si="2568"/>
        <v>0</v>
      </c>
      <c r="EE220" s="62">
        <f t="shared" si="2569"/>
        <v>0</v>
      </c>
      <c r="EF220" s="48">
        <f t="shared" si="2570"/>
        <v>0</v>
      </c>
      <c r="EG220" s="62">
        <f t="shared" si="2571"/>
        <v>0</v>
      </c>
      <c r="EH220" s="62">
        <f t="shared" si="2572"/>
        <v>0</v>
      </c>
      <c r="EI220" s="48">
        <f t="shared" si="2573"/>
        <v>0</v>
      </c>
      <c r="EJ220" s="62">
        <f t="shared" si="2574"/>
        <v>0</v>
      </c>
      <c r="EK220" s="62">
        <f t="shared" si="2575"/>
        <v>0</v>
      </c>
      <c r="EL220" s="48">
        <f t="shared" si="2576"/>
        <v>0</v>
      </c>
      <c r="EM220" s="62">
        <f t="shared" si="2577"/>
        <v>0</v>
      </c>
      <c r="EN220" s="62">
        <f t="shared" si="2578"/>
        <v>0</v>
      </c>
      <c r="EO220" s="48">
        <f t="shared" si="2579"/>
        <v>0</v>
      </c>
      <c r="EP220" s="62">
        <f t="shared" si="2580"/>
        <v>0</v>
      </c>
      <c r="EQ220" s="62">
        <f t="shared" si="2580"/>
        <v>0</v>
      </c>
      <c r="ER220" s="62">
        <f t="shared" si="2580"/>
        <v>0</v>
      </c>
      <c r="ES220" s="62">
        <f t="shared" si="2581"/>
        <v>0</v>
      </c>
      <c r="ET220" s="62">
        <f t="shared" si="2581"/>
        <v>0</v>
      </c>
      <c r="EU220" s="62">
        <f t="shared" si="2581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82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 t="shared" si="2339"/>
        <v>1</v>
      </c>
      <c r="FS220" s="120" t="b">
        <f t="shared" si="2340"/>
        <v>1</v>
      </c>
      <c r="FT220" s="120" t="b">
        <f t="shared" si="2341"/>
        <v>1</v>
      </c>
      <c r="FU220" s="120" t="b">
        <f t="shared" si="2342"/>
        <v>1</v>
      </c>
      <c r="FV220" s="120" t="b">
        <f t="shared" si="2343"/>
        <v>1</v>
      </c>
      <c r="FW220" s="104" t="b">
        <f t="shared" si="2392"/>
        <v>0</v>
      </c>
      <c r="FX220" s="120" t="b">
        <f t="shared" si="2583"/>
        <v>1</v>
      </c>
      <c r="FY220" s="104" t="s">
        <v>368</v>
      </c>
      <c r="FZ220" s="104" t="b">
        <f t="shared" si="2584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85"/>
        <v>1</v>
      </c>
      <c r="GI220" s="8" t="b">
        <f t="shared" si="2586"/>
        <v>0</v>
      </c>
      <c r="GJ220" s="31" t="s">
        <v>203</v>
      </c>
    </row>
    <row r="221" spans="1:192" ht="30" hidden="1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33"/>
        <v>нет минмакс</v>
      </c>
      <c r="Q221" s="95">
        <v>1621</v>
      </c>
      <c r="R221" s="95">
        <f t="shared" si="2534"/>
        <v>253313.67</v>
      </c>
      <c r="S221" s="114">
        <v>1416</v>
      </c>
      <c r="T221" s="114">
        <v>220173.84000000003</v>
      </c>
      <c r="U221" s="131">
        <f t="shared" si="2535"/>
        <v>0</v>
      </c>
      <c r="V221" s="115">
        <f t="shared" si="2536"/>
        <v>1969.5180053710938</v>
      </c>
      <c r="W221" s="115">
        <f t="shared" si="2537"/>
        <v>307776.57869934087</v>
      </c>
      <c r="X221" s="115">
        <f t="shared" si="2538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39"/>
        <v>0</v>
      </c>
      <c r="AF221" s="95">
        <f t="shared" si="2540"/>
        <v>0</v>
      </c>
      <c r="AG221" s="114">
        <v>0</v>
      </c>
      <c r="AH221" s="95">
        <f t="shared" si="2541"/>
        <v>1969.5180053710938</v>
      </c>
      <c r="AI221" s="114">
        <f t="shared" si="2542"/>
        <v>307776.57869934087</v>
      </c>
      <c r="AJ221" s="114">
        <f t="shared" si="2543"/>
        <v>305</v>
      </c>
      <c r="AK221" s="114">
        <f t="shared" si="2587"/>
        <v>701</v>
      </c>
      <c r="AL221" s="114">
        <f t="shared" si="2544"/>
        <v>727</v>
      </c>
      <c r="AM221" s="114">
        <f t="shared" si="2545"/>
        <v>0</v>
      </c>
      <c r="AN221" s="133" t="str">
        <f t="shared" si="2546"/>
        <v>нет оборота</v>
      </c>
      <c r="AO221" s="133" t="str">
        <f t="shared" si="2547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48"/>
        <v>Нет планов</v>
      </c>
      <c r="AW221" s="126">
        <f t="shared" si="2549"/>
        <v>307776.57869934087</v>
      </c>
      <c r="AX221" s="138"/>
      <c r="AY221" s="115">
        <f t="shared" si="2550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51"/>
        <v>0</v>
      </c>
      <c r="BG221" s="32">
        <v>0</v>
      </c>
      <c r="BH221" s="32">
        <f t="shared" si="2552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53"/>
        <v>0</v>
      </c>
      <c r="BR221" s="95">
        <f t="shared" si="2554"/>
        <v>1969.5180053710938</v>
      </c>
      <c r="BS221" s="133">
        <f t="shared" si="2555"/>
        <v>1969.5180053710938</v>
      </c>
      <c r="BT221" s="133">
        <f t="shared" si="2555"/>
        <v>1969.5180053710938</v>
      </c>
      <c r="BU221" s="133">
        <f t="shared" si="2555"/>
        <v>1969.5180053710938</v>
      </c>
      <c r="BV221" s="133">
        <f t="shared" si="2555"/>
        <v>1969.5180053710938</v>
      </c>
      <c r="BW221" s="133">
        <f t="shared" si="2555"/>
        <v>1969.5180053710938</v>
      </c>
      <c r="BX221" s="133">
        <f t="shared" ref="BX221:CO222" si="2588">BW221-$BQ221</f>
        <v>1969.5180053710938</v>
      </c>
      <c r="BY221" s="133">
        <f t="shared" si="2588"/>
        <v>1969.5180053710938</v>
      </c>
      <c r="BZ221" s="133">
        <f t="shared" si="2588"/>
        <v>1969.5180053710938</v>
      </c>
      <c r="CA221" s="133">
        <f t="shared" si="2588"/>
        <v>1969.5180053710938</v>
      </c>
      <c r="CB221" s="133">
        <f t="shared" si="2588"/>
        <v>1969.5180053710938</v>
      </c>
      <c r="CC221" s="133">
        <f t="shared" si="2588"/>
        <v>1969.5180053710938</v>
      </c>
      <c r="CD221" s="133">
        <f t="shared" si="2588"/>
        <v>1969.5180053710938</v>
      </c>
      <c r="CE221" s="133">
        <f t="shared" si="2588"/>
        <v>1969.5180053710938</v>
      </c>
      <c r="CF221" s="133">
        <f t="shared" si="2588"/>
        <v>1969.5180053710938</v>
      </c>
      <c r="CG221" s="133">
        <f t="shared" si="2588"/>
        <v>1969.5180053710938</v>
      </c>
      <c r="CH221" s="133">
        <f t="shared" si="2588"/>
        <v>1969.5180053710938</v>
      </c>
      <c r="CI221" s="133">
        <f t="shared" si="2588"/>
        <v>1969.5180053710938</v>
      </c>
      <c r="CJ221" s="133">
        <f t="shared" si="2588"/>
        <v>1969.5180053710938</v>
      </c>
      <c r="CK221" s="133">
        <f t="shared" si="2588"/>
        <v>1969.5180053710938</v>
      </c>
      <c r="CL221" s="133">
        <f t="shared" si="2588"/>
        <v>1969.5180053710938</v>
      </c>
      <c r="CM221" s="133">
        <f t="shared" si="2588"/>
        <v>1969.5180053710938</v>
      </c>
      <c r="CN221" s="133">
        <f t="shared" si="2588"/>
        <v>1969.5180053710938</v>
      </c>
      <c r="CO221" s="133">
        <f t="shared" si="2588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57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28"/>
        <v>0</v>
      </c>
      <c r="DB221" s="4">
        <f t="shared" si="2529"/>
        <v>0</v>
      </c>
      <c r="DC221" s="4">
        <f t="shared" si="2530"/>
        <v>0</v>
      </c>
      <c r="DD221" s="136">
        <f t="shared" si="2531"/>
        <v>0</v>
      </c>
      <c r="DE221" s="31">
        <v>0</v>
      </c>
      <c r="DG221" s="31">
        <v>0</v>
      </c>
      <c r="DH221" s="48">
        <f t="shared" si="2558"/>
        <v>0</v>
      </c>
      <c r="DI221" s="62">
        <v>423.15899999999999</v>
      </c>
      <c r="DJ221" s="62">
        <v>60825.250999999997</v>
      </c>
      <c r="DK221" s="48">
        <f t="shared" si="2559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60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61"/>
        <v>0</v>
      </c>
      <c r="DV221" s="62">
        <v>395.786</v>
      </c>
      <c r="DW221" s="62">
        <v>61550.140012530166</v>
      </c>
      <c r="DX221" s="62">
        <f t="shared" si="2562"/>
        <v>0</v>
      </c>
      <c r="DY221" s="62">
        <f t="shared" si="2563"/>
        <v>0</v>
      </c>
      <c r="DZ221" s="48">
        <f t="shared" si="2564"/>
        <v>0</v>
      </c>
      <c r="EA221" s="62">
        <f t="shared" si="2565"/>
        <v>0</v>
      </c>
      <c r="EB221" s="62">
        <f t="shared" si="2566"/>
        <v>0</v>
      </c>
      <c r="EC221" s="48">
        <f t="shared" si="2567"/>
        <v>0</v>
      </c>
      <c r="ED221" s="62">
        <f t="shared" si="2568"/>
        <v>0</v>
      </c>
      <c r="EE221" s="62">
        <f t="shared" si="2569"/>
        <v>0</v>
      </c>
      <c r="EF221" s="48">
        <f t="shared" si="2570"/>
        <v>0</v>
      </c>
      <c r="EG221" s="62">
        <f t="shared" si="2571"/>
        <v>0</v>
      </c>
      <c r="EH221" s="62">
        <f t="shared" si="2572"/>
        <v>0</v>
      </c>
      <c r="EI221" s="48">
        <f t="shared" si="2573"/>
        <v>0</v>
      </c>
      <c r="EJ221" s="62">
        <f t="shared" si="2574"/>
        <v>0</v>
      </c>
      <c r="EK221" s="62">
        <f t="shared" si="2575"/>
        <v>0</v>
      </c>
      <c r="EL221" s="48">
        <f t="shared" si="2576"/>
        <v>0</v>
      </c>
      <c r="EM221" s="62">
        <f t="shared" si="2577"/>
        <v>0</v>
      </c>
      <c r="EN221" s="62">
        <f t="shared" si="2578"/>
        <v>0</v>
      </c>
      <c r="EO221" s="48">
        <f t="shared" si="2579"/>
        <v>0</v>
      </c>
      <c r="EP221" s="62">
        <f t="shared" si="2580"/>
        <v>0</v>
      </c>
      <c r="EQ221" s="62">
        <f t="shared" si="2580"/>
        <v>0</v>
      </c>
      <c r="ER221" s="62">
        <f t="shared" si="2580"/>
        <v>0</v>
      </c>
      <c r="ES221" s="62">
        <f t="shared" si="2581"/>
        <v>0</v>
      </c>
      <c r="ET221" s="62">
        <f t="shared" si="2581"/>
        <v>0</v>
      </c>
      <c r="EU221" s="62">
        <f t="shared" si="2581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82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 t="shared" si="2339"/>
        <v>1</v>
      </c>
      <c r="FS221" s="120" t="b">
        <f t="shared" si="2340"/>
        <v>1</v>
      </c>
      <c r="FT221" s="120" t="b">
        <f t="shared" si="2341"/>
        <v>1</v>
      </c>
      <c r="FU221" s="120" t="b">
        <f t="shared" si="2342"/>
        <v>1</v>
      </c>
      <c r="FV221" s="120" t="b">
        <f t="shared" si="2343"/>
        <v>1</v>
      </c>
      <c r="FW221" s="104" t="b">
        <f t="shared" si="2392"/>
        <v>0</v>
      </c>
      <c r="FX221" s="120" t="b">
        <f t="shared" si="2583"/>
        <v>1</v>
      </c>
      <c r="FY221" s="104" t="s">
        <v>368</v>
      </c>
      <c r="FZ221" s="104" t="b">
        <f t="shared" si="2584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85"/>
        <v>1</v>
      </c>
      <c r="GI221" s="8" t="b">
        <f t="shared" si="2586"/>
        <v>0</v>
      </c>
      <c r="GJ221" s="31" t="s">
        <v>203</v>
      </c>
    </row>
    <row r="222" spans="1:192" hidden="1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33"/>
        <v>нет минмакс</v>
      </c>
      <c r="Q222" s="95">
        <v>150386</v>
      </c>
      <c r="R222" s="95">
        <f t="shared" si="2534"/>
        <v>124820.37999999999</v>
      </c>
      <c r="S222" s="114">
        <v>259604</v>
      </c>
      <c r="T222" s="114">
        <v>218067.36</v>
      </c>
      <c r="U222" s="131">
        <f t="shared" si="2535"/>
        <v>10</v>
      </c>
      <c r="V222" s="115">
        <f t="shared" si="2536"/>
        <v>1079331</v>
      </c>
      <c r="W222" s="115">
        <f t="shared" si="2537"/>
        <v>895844.73</v>
      </c>
      <c r="X222" s="115">
        <f t="shared" si="2538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39"/>
        <v>0</v>
      </c>
      <c r="AF222" s="95">
        <f t="shared" si="2540"/>
        <v>0</v>
      </c>
      <c r="AG222" s="114">
        <v>0</v>
      </c>
      <c r="AH222" s="95">
        <f t="shared" si="2541"/>
        <v>1079331</v>
      </c>
      <c r="AI222" s="114">
        <f t="shared" si="2542"/>
        <v>895844.73</v>
      </c>
      <c r="AJ222" s="114">
        <f t="shared" si="2543"/>
        <v>245814</v>
      </c>
      <c r="AK222" s="114">
        <f t="shared" si="2587"/>
        <v>704751</v>
      </c>
      <c r="AL222" s="114">
        <f t="shared" si="2544"/>
        <v>1127005</v>
      </c>
      <c r="AM222" s="114">
        <f t="shared" si="2545"/>
        <v>1547032</v>
      </c>
      <c r="AN222" s="133">
        <f t="shared" si="2546"/>
        <v>30.205399759022441</v>
      </c>
      <c r="AO222" s="133" t="str">
        <f t="shared" si="2547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48"/>
        <v>0-04</v>
      </c>
      <c r="AW222" s="126">
        <f t="shared" si="2549"/>
        <v>0</v>
      </c>
      <c r="AX222" s="138"/>
      <c r="AY222" s="115">
        <f t="shared" si="2550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51"/>
        <v>0</v>
      </c>
      <c r="BG222" s="32">
        <v>0</v>
      </c>
      <c r="BH222" s="32">
        <f t="shared" si="2552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53"/>
        <v>257838.66666666666</v>
      </c>
      <c r="BR222" s="95">
        <f t="shared" si="2554"/>
        <v>882846</v>
      </c>
      <c r="BS222" s="133">
        <f t="shared" si="2555"/>
        <v>507655</v>
      </c>
      <c r="BT222" s="133">
        <f t="shared" si="2555"/>
        <v>225622</v>
      </c>
      <c r="BU222" s="133">
        <f t="shared" si="2555"/>
        <v>-15137</v>
      </c>
      <c r="BV222" s="133">
        <f t="shared" si="2555"/>
        <v>-266960</v>
      </c>
      <c r="BW222" s="133">
        <f t="shared" si="2555"/>
        <v>-467701</v>
      </c>
      <c r="BX222" s="133">
        <f t="shared" si="2588"/>
        <v>-725539.66666666663</v>
      </c>
      <c r="BY222" s="133">
        <f t="shared" si="2588"/>
        <v>-983378.33333333326</v>
      </c>
      <c r="BZ222" s="133">
        <f t="shared" si="2588"/>
        <v>-1241217</v>
      </c>
      <c r="CA222" s="133">
        <f t="shared" si="2588"/>
        <v>-1499055.6666666667</v>
      </c>
      <c r="CB222" s="133">
        <f t="shared" si="2588"/>
        <v>-1756894.3333333335</v>
      </c>
      <c r="CC222" s="133">
        <f t="shared" si="2588"/>
        <v>-2014733.0000000002</v>
      </c>
      <c r="CD222" s="133">
        <f t="shared" si="2588"/>
        <v>-2272571.666666667</v>
      </c>
      <c r="CE222" s="133">
        <f t="shared" si="2588"/>
        <v>-2530410.3333333335</v>
      </c>
      <c r="CF222" s="133">
        <f t="shared" si="2588"/>
        <v>-2788249</v>
      </c>
      <c r="CG222" s="133">
        <f t="shared" si="2588"/>
        <v>-3046087.6666666665</v>
      </c>
      <c r="CH222" s="133">
        <f t="shared" si="2588"/>
        <v>-3303926.333333333</v>
      </c>
      <c r="CI222" s="133">
        <f t="shared" si="2588"/>
        <v>-3561764.9999999995</v>
      </c>
      <c r="CJ222" s="133">
        <f t="shared" si="2588"/>
        <v>-3819603.666666666</v>
      </c>
      <c r="CK222" s="133">
        <f t="shared" si="2588"/>
        <v>-4077442.3333333326</v>
      </c>
      <c r="CL222" s="133">
        <f t="shared" si="2588"/>
        <v>-4335280.9999999991</v>
      </c>
      <c r="CM222" s="133">
        <f t="shared" si="2588"/>
        <v>-4593119.666666666</v>
      </c>
      <c r="CN222" s="133">
        <f t="shared" si="2588"/>
        <v>-4850958.333333333</v>
      </c>
      <c r="CO222" s="133">
        <f t="shared" si="2588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57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28"/>
        <v>0</v>
      </c>
      <c r="DB222" s="4">
        <f t="shared" si="2529"/>
        <v>0</v>
      </c>
      <c r="DC222" s="4">
        <f t="shared" si="2530"/>
        <v>0</v>
      </c>
      <c r="DD222" s="136">
        <f t="shared" si="2531"/>
        <v>0</v>
      </c>
      <c r="DE222" s="31">
        <v>0</v>
      </c>
      <c r="DG222" s="31">
        <v>0</v>
      </c>
      <c r="DH222" s="48">
        <f t="shared" si="2558"/>
        <v>0</v>
      </c>
      <c r="DI222" s="62">
        <v>188238.35500000001</v>
      </c>
      <c r="DJ222" s="62">
        <v>150999.84100000001</v>
      </c>
      <c r="DK222" s="48">
        <f t="shared" si="2559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60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61"/>
        <v>11</v>
      </c>
      <c r="DV222" s="62">
        <v>114479</v>
      </c>
      <c r="DW222" s="62">
        <v>92897.471763181442</v>
      </c>
      <c r="DX222" s="62">
        <f t="shared" si="2562"/>
        <v>0</v>
      </c>
      <c r="DY222" s="62">
        <f t="shared" si="2563"/>
        <v>0</v>
      </c>
      <c r="DZ222" s="48">
        <f t="shared" si="2564"/>
        <v>0</v>
      </c>
      <c r="EA222" s="62">
        <f t="shared" si="2565"/>
        <v>0</v>
      </c>
      <c r="EB222" s="62">
        <f t="shared" si="2566"/>
        <v>0</v>
      </c>
      <c r="EC222" s="48">
        <f t="shared" si="2567"/>
        <v>0</v>
      </c>
      <c r="ED222" s="62">
        <f t="shared" si="2568"/>
        <v>0</v>
      </c>
      <c r="EE222" s="62">
        <f t="shared" si="2569"/>
        <v>0</v>
      </c>
      <c r="EF222" s="48">
        <f t="shared" si="2570"/>
        <v>0</v>
      </c>
      <c r="EG222" s="62">
        <f t="shared" si="2571"/>
        <v>0</v>
      </c>
      <c r="EH222" s="62">
        <f t="shared" si="2572"/>
        <v>0</v>
      </c>
      <c r="EI222" s="48">
        <f t="shared" si="2573"/>
        <v>0</v>
      </c>
      <c r="EJ222" s="62">
        <f t="shared" si="2574"/>
        <v>0</v>
      </c>
      <c r="EK222" s="62">
        <f t="shared" si="2575"/>
        <v>0</v>
      </c>
      <c r="EL222" s="48">
        <f t="shared" si="2576"/>
        <v>0</v>
      </c>
      <c r="EM222" s="62">
        <f t="shared" si="2577"/>
        <v>0</v>
      </c>
      <c r="EN222" s="62">
        <f t="shared" si="2578"/>
        <v>0</v>
      </c>
      <c r="EO222" s="48">
        <f t="shared" si="2579"/>
        <v>0</v>
      </c>
      <c r="EP222" s="62">
        <f t="shared" si="2580"/>
        <v>163082.54999999999</v>
      </c>
      <c r="EQ222" s="62">
        <f t="shared" si="2580"/>
        <v>311408.52999999997</v>
      </c>
      <c r="ER222" s="62">
        <f t="shared" si="2580"/>
        <v>234087.38999999998</v>
      </c>
      <c r="ES222" s="62">
        <f t="shared" si="2581"/>
        <v>199829.97</v>
      </c>
      <c r="ET222" s="62">
        <f t="shared" si="2581"/>
        <v>209013.09</v>
      </c>
      <c r="EU222" s="62">
        <f t="shared" si="2581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82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 t="shared" si="2339"/>
        <v>1</v>
      </c>
      <c r="FS222" s="120" t="b">
        <f t="shared" si="2340"/>
        <v>1</v>
      </c>
      <c r="FT222" s="120" t="b">
        <f t="shared" si="2341"/>
        <v>1</v>
      </c>
      <c r="FU222" s="120" t="b">
        <f t="shared" si="2342"/>
        <v>1</v>
      </c>
      <c r="FV222" s="120" t="b">
        <f t="shared" si="2343"/>
        <v>1</v>
      </c>
      <c r="FW222" s="104" t="b">
        <f t="shared" si="2392"/>
        <v>0</v>
      </c>
      <c r="FX222" s="120" t="b">
        <f t="shared" si="2583"/>
        <v>1</v>
      </c>
      <c r="FY222" s="104" t="s">
        <v>368</v>
      </c>
      <c r="FZ222" s="104" t="b">
        <f t="shared" si="2584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85"/>
        <v>1</v>
      </c>
      <c r="GI222" s="8" t="b">
        <f t="shared" si="2586"/>
        <v>0</v>
      </c>
      <c r="GJ222" s="31" t="s">
        <v>203</v>
      </c>
    </row>
    <row r="223" spans="1:192" ht="30" hidden="1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33"/>
        <v>нет минмакс</v>
      </c>
      <c r="Q223" s="95">
        <v>742.02000045776367</v>
      </c>
      <c r="R223" s="95">
        <f t="shared" si="2534"/>
        <v>106042.078265419</v>
      </c>
      <c r="S223" s="114">
        <v>1481</v>
      </c>
      <c r="T223" s="114">
        <v>214730.19</v>
      </c>
      <c r="U223" s="131">
        <f t="shared" si="2535"/>
        <v>0</v>
      </c>
      <c r="V223" s="115">
        <f t="shared" si="2536"/>
        <v>1733.9229736328125</v>
      </c>
      <c r="W223" s="115">
        <f t="shared" si="2537"/>
        <v>247794.93216186523</v>
      </c>
      <c r="X223" s="115">
        <f t="shared" si="2538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39"/>
        <v>0</v>
      </c>
      <c r="AF223" s="95">
        <f t="shared" si="2540"/>
        <v>0</v>
      </c>
      <c r="AG223" s="114">
        <v>0</v>
      </c>
      <c r="AH223" s="95">
        <f t="shared" si="2541"/>
        <v>1733.9229736328125</v>
      </c>
      <c r="AI223" s="114">
        <f t="shared" si="2542"/>
        <v>247794.93216186523</v>
      </c>
      <c r="AJ223" s="114">
        <f t="shared" si="2543"/>
        <v>0</v>
      </c>
      <c r="AK223" s="114">
        <f t="shared" si="2587"/>
        <v>2856</v>
      </c>
      <c r="AL223" s="114">
        <f t="shared" si="2544"/>
        <v>16569</v>
      </c>
      <c r="AM223" s="114">
        <f t="shared" si="2545"/>
        <v>0</v>
      </c>
      <c r="AN223" s="133" t="str">
        <f t="shared" si="2546"/>
        <v>нет оборота</v>
      </c>
      <c r="AO223" s="133" t="str">
        <f t="shared" si="2547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48"/>
        <v>Нет планов</v>
      </c>
      <c r="AW223" s="126">
        <f t="shared" si="2549"/>
        <v>247794.93216186523</v>
      </c>
      <c r="AX223" s="138"/>
      <c r="AY223" s="115">
        <f t="shared" si="2550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51"/>
        <v>0</v>
      </c>
      <c r="BG223" s="32">
        <v>0</v>
      </c>
      <c r="BH223" s="32">
        <f t="shared" si="2552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53"/>
        <v>0</v>
      </c>
      <c r="BR223" s="95">
        <f t="shared" si="2554"/>
        <v>1733.9229736328125</v>
      </c>
      <c r="BS223" s="133">
        <f t="shared" si="2555"/>
        <v>1733.9229736328125</v>
      </c>
      <c r="BT223" s="133">
        <f t="shared" si="2555"/>
        <v>1733.9229736328125</v>
      </c>
      <c r="BU223" s="133">
        <f t="shared" si="2555"/>
        <v>1733.9229736328125</v>
      </c>
      <c r="BV223" s="133">
        <f t="shared" si="2555"/>
        <v>1733.9229736328125</v>
      </c>
      <c r="BW223" s="133">
        <f t="shared" si="2555"/>
        <v>1733.9229736328125</v>
      </c>
      <c r="BX223" s="133">
        <f t="shared" ref="BX223:CO223" si="2589">BW223-$BQ223</f>
        <v>1733.9229736328125</v>
      </c>
      <c r="BY223" s="133">
        <f t="shared" si="2589"/>
        <v>1733.9229736328125</v>
      </c>
      <c r="BZ223" s="133">
        <f t="shared" si="2589"/>
        <v>1733.9229736328125</v>
      </c>
      <c r="CA223" s="133">
        <f t="shared" si="2589"/>
        <v>1733.9229736328125</v>
      </c>
      <c r="CB223" s="133">
        <f t="shared" si="2589"/>
        <v>1733.9229736328125</v>
      </c>
      <c r="CC223" s="133">
        <f t="shared" si="2589"/>
        <v>1733.9229736328125</v>
      </c>
      <c r="CD223" s="133">
        <f t="shared" si="2589"/>
        <v>1733.9229736328125</v>
      </c>
      <c r="CE223" s="133">
        <f t="shared" si="2589"/>
        <v>1733.9229736328125</v>
      </c>
      <c r="CF223" s="133">
        <f t="shared" si="2589"/>
        <v>1733.9229736328125</v>
      </c>
      <c r="CG223" s="133">
        <f t="shared" si="2589"/>
        <v>1733.9229736328125</v>
      </c>
      <c r="CH223" s="133">
        <f t="shared" si="2589"/>
        <v>1733.9229736328125</v>
      </c>
      <c r="CI223" s="133">
        <f t="shared" si="2589"/>
        <v>1733.9229736328125</v>
      </c>
      <c r="CJ223" s="133">
        <f t="shared" si="2589"/>
        <v>1733.9229736328125</v>
      </c>
      <c r="CK223" s="133">
        <f t="shared" si="2589"/>
        <v>1733.9229736328125</v>
      </c>
      <c r="CL223" s="133">
        <f t="shared" si="2589"/>
        <v>1733.9229736328125</v>
      </c>
      <c r="CM223" s="133">
        <f t="shared" si="2589"/>
        <v>1733.9229736328125</v>
      </c>
      <c r="CN223" s="133">
        <f t="shared" si="2589"/>
        <v>1733.9229736328125</v>
      </c>
      <c r="CO223" s="133">
        <f t="shared" si="2589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57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28"/>
        <v>0</v>
      </c>
      <c r="DB223" s="4">
        <f t="shared" si="2529"/>
        <v>0</v>
      </c>
      <c r="DC223" s="4">
        <f t="shared" si="2530"/>
        <v>0</v>
      </c>
      <c r="DD223" s="136">
        <f t="shared" si="2531"/>
        <v>0</v>
      </c>
      <c r="DE223" s="31">
        <v>0</v>
      </c>
      <c r="DG223" s="31">
        <v>0</v>
      </c>
      <c r="DH223" s="48">
        <f t="shared" si="2558"/>
        <v>0</v>
      </c>
      <c r="DI223" s="62">
        <v>11570.308999999999</v>
      </c>
      <c r="DJ223" s="62">
        <v>1647420.767</v>
      </c>
      <c r="DK223" s="48">
        <f t="shared" si="2559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60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61"/>
        <v>0</v>
      </c>
      <c r="DV223" s="62">
        <v>1236.269</v>
      </c>
      <c r="DW223" s="62">
        <v>176782.15028630252</v>
      </c>
      <c r="DX223" s="62">
        <f t="shared" si="2562"/>
        <v>0</v>
      </c>
      <c r="DY223" s="62">
        <f t="shared" si="2563"/>
        <v>0</v>
      </c>
      <c r="DZ223" s="48">
        <f t="shared" si="2564"/>
        <v>0</v>
      </c>
      <c r="EA223" s="62">
        <f t="shared" si="2565"/>
        <v>0</v>
      </c>
      <c r="EB223" s="62">
        <f t="shared" si="2566"/>
        <v>0</v>
      </c>
      <c r="EC223" s="48">
        <f t="shared" si="2567"/>
        <v>0</v>
      </c>
      <c r="ED223" s="62">
        <f t="shared" si="2568"/>
        <v>0</v>
      </c>
      <c r="EE223" s="62">
        <f t="shared" si="2569"/>
        <v>0</v>
      </c>
      <c r="EF223" s="48">
        <f t="shared" si="2570"/>
        <v>0</v>
      </c>
      <c r="EG223" s="62">
        <f t="shared" si="2571"/>
        <v>0</v>
      </c>
      <c r="EH223" s="62">
        <f t="shared" si="2572"/>
        <v>0</v>
      </c>
      <c r="EI223" s="48">
        <f t="shared" si="2573"/>
        <v>0</v>
      </c>
      <c r="EJ223" s="62">
        <f t="shared" si="2574"/>
        <v>0</v>
      </c>
      <c r="EK223" s="62">
        <f t="shared" si="2575"/>
        <v>0</v>
      </c>
      <c r="EL223" s="48">
        <f t="shared" si="2576"/>
        <v>0</v>
      </c>
      <c r="EM223" s="62">
        <f t="shared" si="2577"/>
        <v>0</v>
      </c>
      <c r="EN223" s="62">
        <f t="shared" si="2578"/>
        <v>0</v>
      </c>
      <c r="EO223" s="48">
        <f t="shared" si="2579"/>
        <v>0</v>
      </c>
      <c r="EP223" s="62">
        <f t="shared" si="2580"/>
        <v>0</v>
      </c>
      <c r="EQ223" s="62">
        <f t="shared" si="2580"/>
        <v>0</v>
      </c>
      <c r="ER223" s="62">
        <f t="shared" si="2580"/>
        <v>0</v>
      </c>
      <c r="ES223" s="62">
        <f t="shared" si="2581"/>
        <v>0</v>
      </c>
      <c r="ET223" s="62">
        <f t="shared" si="2581"/>
        <v>0</v>
      </c>
      <c r="EU223" s="62">
        <f t="shared" si="2581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82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 t="shared" si="2339"/>
        <v>1</v>
      </c>
      <c r="FS223" s="120" t="b">
        <f t="shared" si="2340"/>
        <v>1</v>
      </c>
      <c r="FT223" s="120" t="b">
        <f t="shared" si="2341"/>
        <v>1</v>
      </c>
      <c r="FU223" s="120" t="b">
        <f t="shared" si="2342"/>
        <v>1</v>
      </c>
      <c r="FV223" s="120" t="b">
        <f t="shared" si="2343"/>
        <v>1</v>
      </c>
      <c r="FW223" s="104" t="b">
        <f t="shared" si="2392"/>
        <v>0</v>
      </c>
      <c r="FX223" s="120" t="b">
        <f t="shared" si="2583"/>
        <v>1</v>
      </c>
      <c r="FY223" s="104" t="s">
        <v>368</v>
      </c>
      <c r="FZ223" s="104" t="b">
        <f t="shared" si="2584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85"/>
        <v>1</v>
      </c>
      <c r="GI223" s="8" t="b">
        <f t="shared" si="2586"/>
        <v>0</v>
      </c>
      <c r="GJ223" s="31" t="s">
        <v>203</v>
      </c>
    </row>
    <row r="224" spans="1:192" ht="30" hidden="1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90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91">Q224*FH224</f>
        <v>346640</v>
      </c>
      <c r="S224" s="131">
        <v>550</v>
      </c>
      <c r="T224" s="131">
        <v>188760</v>
      </c>
      <c r="U224" s="131">
        <f t="shared" ref="U224:U231" si="2592">IFERROR(ROUNDUP(S224/$EX224,0)*$EY224,0)</f>
        <v>1.5</v>
      </c>
      <c r="V224" s="113">
        <f t="shared" ref="V224:V231" si="2593">SUM(Z224:AD224)</f>
        <v>0</v>
      </c>
      <c r="W224" s="113">
        <f t="shared" ref="W224:W231" si="2594">V224*FH224</f>
        <v>0</v>
      </c>
      <c r="X224" s="113">
        <f t="shared" ref="X224:X231" si="2595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96">AA224*FH224</f>
        <v>0</v>
      </c>
      <c r="AF224" s="95">
        <f t="shared" ref="AF224:AF231" si="2597">AB224*FH224</f>
        <v>0</v>
      </c>
      <c r="AG224" s="114">
        <v>0</v>
      </c>
      <c r="AH224" s="95">
        <f t="shared" ref="AH224:AH231" si="2598">V224-AG224</f>
        <v>0</v>
      </c>
      <c r="AI224" s="114">
        <f t="shared" ref="AI224:AI231" si="2599">IF(AH224&gt;0,AH224*FH224,0)</f>
        <v>0</v>
      </c>
      <c r="AJ224" s="133">
        <f t="shared" ref="AJ224:AJ231" si="2600">CU224</f>
        <v>250</v>
      </c>
      <c r="AK224" s="133">
        <f t="shared" si="2587"/>
        <v>684</v>
      </c>
      <c r="AL224" s="133">
        <f t="shared" ref="AL224:AL231" si="2601">SUM(CP224:CU224)</f>
        <v>790</v>
      </c>
      <c r="AM224" s="133">
        <f t="shared" ref="AM224:AM231" si="2602">SUM(BK224:BP224)</f>
        <v>0</v>
      </c>
      <c r="AN224" s="133" t="str">
        <f t="shared" ref="AN224:AN231" si="2603">IFERROR(S224/BQ224*30,"нет оборота")</f>
        <v>нет оборота</v>
      </c>
      <c r="AO224" s="133" t="str">
        <f t="shared" ref="AO224:AO231" si="2604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605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606">IF(AT224="Да",W224,0)</f>
        <v>0</v>
      </c>
      <c r="AX224" s="14"/>
      <c r="AY224" s="25">
        <f t="shared" ref="AY224:AY231" si="2607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608">BE224*FH224</f>
        <v>0</v>
      </c>
      <c r="BG224" s="32">
        <v>0</v>
      </c>
      <c r="BH224" s="32">
        <f t="shared" ref="BH224:BH231" si="2609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610">IF(COUNTIF(BK224:BP224,"&gt;0")=0,0,SUM(BK224:BP224)/COUNTIF(BK224:BP224,"&gt;0"))</f>
        <v>0</v>
      </c>
      <c r="BR224" s="95">
        <f t="shared" ref="BR224:BR231" si="2611">IF(OR(Q224=0,SUM(BK224:BP224)=0,V224&gt;Q224),V224-BK224,Q224-BK224)</f>
        <v>0</v>
      </c>
      <c r="BS224" s="133">
        <f t="shared" ref="BS224:BW228" si="2612">BR224-BL224</f>
        <v>0</v>
      </c>
      <c r="BT224" s="133">
        <f t="shared" si="2612"/>
        <v>0</v>
      </c>
      <c r="BU224" s="133">
        <f t="shared" si="2612"/>
        <v>0</v>
      </c>
      <c r="BV224" s="133">
        <f t="shared" si="2612"/>
        <v>0</v>
      </c>
      <c r="BW224" s="133">
        <f t="shared" si="2612"/>
        <v>0</v>
      </c>
      <c r="BX224" s="133">
        <f t="shared" ref="BX224:CO225" si="2613">BW224-$BQ224</f>
        <v>0</v>
      </c>
      <c r="BY224" s="133">
        <f t="shared" si="2613"/>
        <v>0</v>
      </c>
      <c r="BZ224" s="133">
        <f t="shared" si="2613"/>
        <v>0</v>
      </c>
      <c r="CA224" s="133">
        <f t="shared" si="2613"/>
        <v>0</v>
      </c>
      <c r="CB224" s="133">
        <f t="shared" si="2613"/>
        <v>0</v>
      </c>
      <c r="CC224" s="133">
        <f t="shared" si="2613"/>
        <v>0</v>
      </c>
      <c r="CD224" s="133">
        <f t="shared" si="2613"/>
        <v>0</v>
      </c>
      <c r="CE224" s="133">
        <f t="shared" si="2613"/>
        <v>0</v>
      </c>
      <c r="CF224" s="133">
        <f t="shared" si="2613"/>
        <v>0</v>
      </c>
      <c r="CG224" s="133">
        <f t="shared" si="2613"/>
        <v>0</v>
      </c>
      <c r="CH224" s="133">
        <f t="shared" si="2613"/>
        <v>0</v>
      </c>
      <c r="CI224" s="133">
        <f t="shared" si="2613"/>
        <v>0</v>
      </c>
      <c r="CJ224" s="133">
        <f t="shared" si="2613"/>
        <v>0</v>
      </c>
      <c r="CK224" s="133">
        <f t="shared" si="2613"/>
        <v>0</v>
      </c>
      <c r="CL224" s="133">
        <f t="shared" si="2613"/>
        <v>0</v>
      </c>
      <c r="CM224" s="133">
        <f t="shared" si="2613"/>
        <v>0</v>
      </c>
      <c r="CN224" s="133">
        <f t="shared" si="2613"/>
        <v>0</v>
      </c>
      <c r="CO224" s="133">
        <f t="shared" si="2613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614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615">IFERROR(CZ224/CY224,0)</f>
        <v>0</v>
      </c>
      <c r="DB224" s="4">
        <f t="shared" ref="DB224:DB225" si="2616">CY224*FH224</f>
        <v>0</v>
      </c>
      <c r="DC224" s="4">
        <f t="shared" ref="DC224:DC225" si="2617">CZ224*FH224</f>
        <v>0</v>
      </c>
      <c r="DD224" s="136">
        <f t="shared" ref="DD224:DD225" si="2618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619">IFERROR(ROUNDUP(DG224/$EX224,0)*$EY224,0)</f>
        <v>1.5</v>
      </c>
      <c r="DI224" s="62">
        <v>700</v>
      </c>
      <c r="DJ224" s="62">
        <v>240240</v>
      </c>
      <c r="DK224" s="48">
        <f t="shared" ref="DK224:DK231" si="2620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621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622">IFERROR(ROUNDUP(DS224/$EX224,0)*$EY224,0)</f>
        <v>1.5</v>
      </c>
      <c r="DV224" s="62">
        <v>134</v>
      </c>
      <c r="DW224" s="62">
        <v>45988.800000000003</v>
      </c>
      <c r="DX224" s="62">
        <f t="shared" ref="DX224:DX231" si="2623">$DF224*BK224/30</f>
        <v>0</v>
      </c>
      <c r="DY224" s="62">
        <f t="shared" ref="DY224:DY231" si="2624">DX224*$FH224</f>
        <v>0</v>
      </c>
      <c r="DZ224" s="48">
        <f t="shared" ref="DZ224:DZ231" si="2625">IFERROR(ROUNDUP(DX224/$EX224,0)*$EY224,0)</f>
        <v>0</v>
      </c>
      <c r="EA224" s="62">
        <f t="shared" ref="EA224:EA231" si="2626">$DF224*BL224/30</f>
        <v>0</v>
      </c>
      <c r="EB224" s="62">
        <f t="shared" ref="EB224:EB231" si="2627">EA224*$FH224</f>
        <v>0</v>
      </c>
      <c r="EC224" s="48">
        <f t="shared" ref="EC224:EC231" si="2628">IFERROR(ROUNDUP(EA224/$EX224,0)*$EY224,0)</f>
        <v>0</v>
      </c>
      <c r="ED224" s="62">
        <f t="shared" ref="ED224:ED231" si="2629">$DF224*BM224/30</f>
        <v>0</v>
      </c>
      <c r="EE224" s="62">
        <f t="shared" ref="EE224:EE231" si="2630">ED224*$FH224</f>
        <v>0</v>
      </c>
      <c r="EF224" s="48">
        <f t="shared" ref="EF224:EF231" si="2631">IFERROR(ROUNDUP(ED224/$EX224,0)*$EY224,0)</f>
        <v>0</v>
      </c>
      <c r="EG224" s="62">
        <f t="shared" ref="EG224:EG231" si="2632">$DF224*BN224/30</f>
        <v>0</v>
      </c>
      <c r="EH224" s="62">
        <f t="shared" ref="EH224:EH231" si="2633">EG224*$FH224</f>
        <v>0</v>
      </c>
      <c r="EI224" s="48">
        <f t="shared" ref="EI224:EI231" si="2634">IFERROR(ROUNDUP(EG224/$EX224,0)*$EY224,0)</f>
        <v>0</v>
      </c>
      <c r="EJ224" s="62">
        <f t="shared" ref="EJ224:EJ231" si="2635">$DF224*BO224/30</f>
        <v>0</v>
      </c>
      <c r="EK224" s="62">
        <f t="shared" ref="EK224:EK231" si="2636">EJ224*$FH224</f>
        <v>0</v>
      </c>
      <c r="EL224" s="48">
        <f t="shared" ref="EL224:EL231" si="2637">IFERROR(ROUNDUP(EJ224/$EX224,0)*$EY224,0)</f>
        <v>0</v>
      </c>
      <c r="EM224" s="62">
        <f t="shared" ref="EM224:EM231" si="2638">$DF224*BP224/30</f>
        <v>0</v>
      </c>
      <c r="EN224" s="62">
        <f t="shared" ref="EN224:EN231" si="2639">EM224*$FH224</f>
        <v>0</v>
      </c>
      <c r="EO224" s="48">
        <f t="shared" ref="EO224:EO231" si="2640">IFERROR(ROUNDUP(EM224/$EX224,0)*$EY224,0)</f>
        <v>0</v>
      </c>
      <c r="EP224" s="62">
        <f t="shared" ref="EP224:EU228" si="2641">BK224*$FH224</f>
        <v>0</v>
      </c>
      <c r="EQ224" s="62">
        <f t="shared" si="2641"/>
        <v>0</v>
      </c>
      <c r="ER224" s="62">
        <f t="shared" si="2641"/>
        <v>0</v>
      </c>
      <c r="ES224" s="62">
        <f t="shared" si="2641"/>
        <v>0</v>
      </c>
      <c r="ET224" s="62">
        <f t="shared" si="2641"/>
        <v>0</v>
      </c>
      <c r="EU224" s="62">
        <f t="shared" si="2641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42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 t="shared" si="2339"/>
        <v>1</v>
      </c>
      <c r="FS224" s="103" t="b">
        <f t="shared" si="2340"/>
        <v>1</v>
      </c>
      <c r="FT224" s="103" t="b">
        <f t="shared" si="2341"/>
        <v>0</v>
      </c>
      <c r="FU224" s="103" t="b">
        <f t="shared" si="2342"/>
        <v>0</v>
      </c>
      <c r="FV224" s="103" t="b">
        <f t="shared" si="2343"/>
        <v>1</v>
      </c>
      <c r="FW224" s="104" t="b">
        <f t="shared" si="2392"/>
        <v>0</v>
      </c>
      <c r="FX224" s="120" t="b">
        <f t="shared" ref="FX224:FX231" si="2643">EXACT(FQ224,BI224)</f>
        <v>1</v>
      </c>
      <c r="FY224" s="104" t="s">
        <v>368</v>
      </c>
      <c r="FZ224" s="104" t="b">
        <f t="shared" ref="FZ224:FZ231" si="2644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45">EXACT(GD224,C224)</f>
        <v>1</v>
      </c>
      <c r="GI224" s="8" t="b">
        <f t="shared" ref="GI224:GI231" si="2646">EXACT(GG224,G224)</f>
        <v>0</v>
      </c>
      <c r="GJ224" s="31" t="s">
        <v>203</v>
      </c>
    </row>
    <row r="225" spans="1:192" hidden="1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90"/>
        <v>нет минмакс</v>
      </c>
      <c r="Q225" s="95">
        <v>3045</v>
      </c>
      <c r="R225" s="95">
        <f t="shared" si="2591"/>
        <v>2314.1999999999998</v>
      </c>
      <c r="S225" s="114">
        <v>230655</v>
      </c>
      <c r="T225" s="114">
        <v>182217.45</v>
      </c>
      <c r="U225" s="131">
        <f t="shared" si="2592"/>
        <v>8</v>
      </c>
      <c r="V225" s="115">
        <f t="shared" si="2593"/>
        <v>668830</v>
      </c>
      <c r="W225" s="115">
        <f t="shared" si="2594"/>
        <v>508310.8</v>
      </c>
      <c r="X225" s="115">
        <f t="shared" si="2595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96"/>
        <v>0</v>
      </c>
      <c r="AF225" s="95">
        <f t="shared" si="2597"/>
        <v>0</v>
      </c>
      <c r="AG225" s="114">
        <v>0</v>
      </c>
      <c r="AH225" s="95">
        <f t="shared" si="2598"/>
        <v>668830</v>
      </c>
      <c r="AI225" s="114">
        <f t="shared" si="2599"/>
        <v>508310.8</v>
      </c>
      <c r="AJ225" s="114">
        <f t="shared" si="2600"/>
        <v>238050</v>
      </c>
      <c r="AK225" s="114">
        <f t="shared" ref="AK225:AK231" si="2647">SUM(CS225:CU225)</f>
        <v>650888</v>
      </c>
      <c r="AL225" s="114">
        <f t="shared" si="2601"/>
        <v>800156</v>
      </c>
      <c r="AM225" s="114">
        <f t="shared" si="2602"/>
        <v>1223741</v>
      </c>
      <c r="AN225" s="133">
        <f t="shared" si="2603"/>
        <v>33.927031945485197</v>
      </c>
      <c r="AO225" s="133" t="str">
        <f t="shared" si="2604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605"/>
        <v>0-04</v>
      </c>
      <c r="AW225" s="126">
        <f t="shared" si="2606"/>
        <v>0</v>
      </c>
      <c r="AX225" s="138"/>
      <c r="AY225" s="115">
        <f t="shared" si="2607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608"/>
        <v>0</v>
      </c>
      <c r="BG225" s="32">
        <v>0</v>
      </c>
      <c r="BH225" s="32">
        <f t="shared" si="2609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610"/>
        <v>203956.83333333334</v>
      </c>
      <c r="BR225" s="95">
        <f t="shared" si="2611"/>
        <v>487562</v>
      </c>
      <c r="BS225" s="133">
        <f t="shared" si="2612"/>
        <v>310206</v>
      </c>
      <c r="BT225" s="133">
        <f t="shared" si="2612"/>
        <v>97194</v>
      </c>
      <c r="BU225" s="133">
        <f t="shared" si="2612"/>
        <v>-122568</v>
      </c>
      <c r="BV225" s="133">
        <f t="shared" si="2612"/>
        <v>-337205</v>
      </c>
      <c r="BW225" s="133">
        <f t="shared" si="2612"/>
        <v>-554911</v>
      </c>
      <c r="BX225" s="133">
        <f t="shared" si="2613"/>
        <v>-758867.83333333337</v>
      </c>
      <c r="BY225" s="133">
        <f t="shared" si="2613"/>
        <v>-962824.66666666674</v>
      </c>
      <c r="BZ225" s="133">
        <f t="shared" si="2613"/>
        <v>-1166781.5</v>
      </c>
      <c r="CA225" s="133">
        <f t="shared" ref="CA225:CO225" si="2648">BZ225-$BQ225</f>
        <v>-1370738.3333333333</v>
      </c>
      <c r="CB225" s="133">
        <f t="shared" si="2648"/>
        <v>-1574695.1666666665</v>
      </c>
      <c r="CC225" s="133">
        <f t="shared" si="2648"/>
        <v>-1778651.9999999998</v>
      </c>
      <c r="CD225" s="133">
        <f t="shared" si="2648"/>
        <v>-1982608.833333333</v>
      </c>
      <c r="CE225" s="133">
        <f t="shared" si="2648"/>
        <v>-2186565.6666666665</v>
      </c>
      <c r="CF225" s="133">
        <f t="shared" si="2648"/>
        <v>-2390522.5</v>
      </c>
      <c r="CG225" s="133">
        <f t="shared" si="2648"/>
        <v>-2594479.3333333335</v>
      </c>
      <c r="CH225" s="133">
        <f t="shared" si="2648"/>
        <v>-2798436.166666667</v>
      </c>
      <c r="CI225" s="133">
        <f t="shared" si="2648"/>
        <v>-3002393.0000000005</v>
      </c>
      <c r="CJ225" s="133">
        <f t="shared" si="2648"/>
        <v>-3206349.833333334</v>
      </c>
      <c r="CK225" s="133">
        <f t="shared" si="2648"/>
        <v>-3410306.6666666674</v>
      </c>
      <c r="CL225" s="133">
        <f t="shared" si="2648"/>
        <v>-3614263.5000000009</v>
      </c>
      <c r="CM225" s="133">
        <f t="shared" si="2648"/>
        <v>-3818220.3333333344</v>
      </c>
      <c r="CN225" s="133">
        <f t="shared" si="2648"/>
        <v>-4022177.1666666679</v>
      </c>
      <c r="CO225" s="133">
        <f t="shared" si="2648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614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615"/>
        <v>0</v>
      </c>
      <c r="DB225" s="4">
        <f t="shared" si="2616"/>
        <v>0</v>
      </c>
      <c r="DC225" s="4">
        <f t="shared" si="2617"/>
        <v>0</v>
      </c>
      <c r="DD225" s="136">
        <f t="shared" si="2618"/>
        <v>0</v>
      </c>
      <c r="DE225" s="31">
        <v>0</v>
      </c>
      <c r="DG225" s="31">
        <v>0</v>
      </c>
      <c r="DH225" s="48">
        <f t="shared" si="2619"/>
        <v>0</v>
      </c>
      <c r="DI225" s="62">
        <v>468410.16200000001</v>
      </c>
      <c r="DJ225" s="62">
        <v>371721.43599999999</v>
      </c>
      <c r="DK225" s="48">
        <f t="shared" si="2620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621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622"/>
        <v>10</v>
      </c>
      <c r="DV225" s="62">
        <v>163705</v>
      </c>
      <c r="DW225" s="62">
        <v>129846.92085626743</v>
      </c>
      <c r="DX225" s="62">
        <f t="shared" si="2623"/>
        <v>0</v>
      </c>
      <c r="DY225" s="62">
        <f t="shared" si="2624"/>
        <v>0</v>
      </c>
      <c r="DZ225" s="48">
        <f t="shared" si="2625"/>
        <v>0</v>
      </c>
      <c r="EA225" s="62">
        <f t="shared" si="2626"/>
        <v>0</v>
      </c>
      <c r="EB225" s="62">
        <f t="shared" si="2627"/>
        <v>0</v>
      </c>
      <c r="EC225" s="48">
        <f t="shared" si="2628"/>
        <v>0</v>
      </c>
      <c r="ED225" s="62">
        <f t="shared" si="2629"/>
        <v>0</v>
      </c>
      <c r="EE225" s="62">
        <f t="shared" si="2630"/>
        <v>0</v>
      </c>
      <c r="EF225" s="48">
        <f t="shared" si="2631"/>
        <v>0</v>
      </c>
      <c r="EG225" s="62">
        <f t="shared" si="2632"/>
        <v>0</v>
      </c>
      <c r="EH225" s="62">
        <f t="shared" si="2633"/>
        <v>0</v>
      </c>
      <c r="EI225" s="48">
        <f t="shared" si="2634"/>
        <v>0</v>
      </c>
      <c r="EJ225" s="62">
        <f t="shared" si="2635"/>
        <v>0</v>
      </c>
      <c r="EK225" s="62">
        <f t="shared" si="2636"/>
        <v>0</v>
      </c>
      <c r="EL225" s="48">
        <f t="shared" si="2637"/>
        <v>0</v>
      </c>
      <c r="EM225" s="62">
        <f t="shared" si="2638"/>
        <v>0</v>
      </c>
      <c r="EN225" s="62">
        <f t="shared" si="2639"/>
        <v>0</v>
      </c>
      <c r="EO225" s="48">
        <f t="shared" si="2640"/>
        <v>0</v>
      </c>
      <c r="EP225" s="62">
        <f t="shared" si="2641"/>
        <v>137763.68</v>
      </c>
      <c r="EQ225" s="62">
        <f t="shared" si="2641"/>
        <v>134790.56</v>
      </c>
      <c r="ER225" s="62">
        <f t="shared" si="2641"/>
        <v>161889.12</v>
      </c>
      <c r="ES225" s="62">
        <f t="shared" si="2641"/>
        <v>167019.12</v>
      </c>
      <c r="ET225" s="62">
        <f t="shared" si="2641"/>
        <v>163124.12</v>
      </c>
      <c r="EU225" s="62">
        <f t="shared" si="2641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42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 t="shared" si="2339"/>
        <v>1</v>
      </c>
      <c r="FS225" s="120" t="b">
        <f t="shared" si="2340"/>
        <v>1</v>
      </c>
      <c r="FT225" s="120" t="b">
        <f t="shared" si="2341"/>
        <v>1</v>
      </c>
      <c r="FU225" s="120" t="b">
        <f t="shared" si="2342"/>
        <v>1</v>
      </c>
      <c r="FV225" s="120" t="b">
        <f t="shared" si="2343"/>
        <v>1</v>
      </c>
      <c r="FW225" s="104" t="b">
        <f t="shared" si="2392"/>
        <v>0</v>
      </c>
      <c r="FX225" s="120" t="b">
        <f t="shared" si="2643"/>
        <v>1</v>
      </c>
      <c r="FY225" s="104" t="s">
        <v>368</v>
      </c>
      <c r="FZ225" s="104" t="b">
        <f t="shared" si="2644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45"/>
        <v>1</v>
      </c>
      <c r="GI225" s="8" t="b">
        <f t="shared" si="2646"/>
        <v>0</v>
      </c>
      <c r="GJ225" s="31" t="s">
        <v>203</v>
      </c>
    </row>
    <row r="226" spans="1:192" ht="30" hidden="1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90"/>
        <v>нет минмакс</v>
      </c>
      <c r="Q226" s="95">
        <v>15328.5</v>
      </c>
      <c r="R226" s="95">
        <f t="shared" si="2591"/>
        <v>2080384.02</v>
      </c>
      <c r="S226" s="131">
        <v>1235</v>
      </c>
      <c r="T226" s="131">
        <v>179531.95</v>
      </c>
      <c r="U226" s="131">
        <f t="shared" si="2592"/>
        <v>0</v>
      </c>
      <c r="V226" s="113">
        <f t="shared" si="2593"/>
        <v>889</v>
      </c>
      <c r="W226" s="113">
        <f t="shared" si="2594"/>
        <v>120655.08</v>
      </c>
      <c r="X226" s="113">
        <f t="shared" si="2595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96"/>
        <v>0</v>
      </c>
      <c r="AF226" s="95">
        <f t="shared" si="2597"/>
        <v>0</v>
      </c>
      <c r="AG226" s="114">
        <v>0</v>
      </c>
      <c r="AH226" s="95">
        <f t="shared" si="2598"/>
        <v>889</v>
      </c>
      <c r="AI226" s="114">
        <f t="shared" si="2599"/>
        <v>120655.08</v>
      </c>
      <c r="AJ226" s="133">
        <f t="shared" si="2600"/>
        <v>0</v>
      </c>
      <c r="AK226" s="133">
        <f t="shared" si="2647"/>
        <v>16750</v>
      </c>
      <c r="AL226" s="133">
        <f t="shared" si="2601"/>
        <v>62249</v>
      </c>
      <c r="AM226" s="133">
        <f t="shared" si="2602"/>
        <v>0</v>
      </c>
      <c r="AN226" s="133" t="str">
        <f t="shared" si="2603"/>
        <v>нет оборота</v>
      </c>
      <c r="AO226" s="133" t="str">
        <f t="shared" si="2604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605"/>
        <v>Нет планов</v>
      </c>
      <c r="AW226" s="117">
        <f t="shared" si="2606"/>
        <v>120655.08</v>
      </c>
      <c r="AX226" s="14"/>
      <c r="AY226" s="25">
        <f t="shared" si="2607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608"/>
        <v>0</v>
      </c>
      <c r="BG226" s="32">
        <v>2301.5</v>
      </c>
      <c r="BH226" s="32">
        <f t="shared" si="2609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610"/>
        <v>0</v>
      </c>
      <c r="BR226" s="95">
        <f t="shared" si="2611"/>
        <v>889</v>
      </c>
      <c r="BS226" s="133">
        <f t="shared" si="2612"/>
        <v>889</v>
      </c>
      <c r="BT226" s="133">
        <f t="shared" si="2612"/>
        <v>889</v>
      </c>
      <c r="BU226" s="133">
        <f t="shared" si="2612"/>
        <v>889</v>
      </c>
      <c r="BV226" s="133">
        <f t="shared" si="2612"/>
        <v>889</v>
      </c>
      <c r="BW226" s="133">
        <f t="shared" si="2612"/>
        <v>889</v>
      </c>
      <c r="BX226" s="133">
        <f t="shared" ref="BX226:CO226" si="2649">BW226-$BQ226</f>
        <v>889</v>
      </c>
      <c r="BY226" s="133">
        <f t="shared" si="2649"/>
        <v>889</v>
      </c>
      <c r="BZ226" s="133">
        <f t="shared" si="2649"/>
        <v>889</v>
      </c>
      <c r="CA226" s="133">
        <f t="shared" si="2649"/>
        <v>889</v>
      </c>
      <c r="CB226" s="133">
        <f t="shared" si="2649"/>
        <v>889</v>
      </c>
      <c r="CC226" s="133">
        <f t="shared" si="2649"/>
        <v>889</v>
      </c>
      <c r="CD226" s="133">
        <f t="shared" si="2649"/>
        <v>889</v>
      </c>
      <c r="CE226" s="133">
        <f t="shared" si="2649"/>
        <v>889</v>
      </c>
      <c r="CF226" s="133">
        <f t="shared" si="2649"/>
        <v>889</v>
      </c>
      <c r="CG226" s="133">
        <f t="shared" si="2649"/>
        <v>889</v>
      </c>
      <c r="CH226" s="133">
        <f t="shared" si="2649"/>
        <v>889</v>
      </c>
      <c r="CI226" s="133">
        <f t="shared" si="2649"/>
        <v>889</v>
      </c>
      <c r="CJ226" s="133">
        <f t="shared" si="2649"/>
        <v>889</v>
      </c>
      <c r="CK226" s="133">
        <f t="shared" si="2649"/>
        <v>889</v>
      </c>
      <c r="CL226" s="133">
        <f t="shared" si="2649"/>
        <v>889</v>
      </c>
      <c r="CM226" s="133">
        <f t="shared" si="2649"/>
        <v>889</v>
      </c>
      <c r="CN226" s="133">
        <f t="shared" si="2649"/>
        <v>889</v>
      </c>
      <c r="CO226" s="133">
        <f t="shared" si="2649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614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50">IFERROR(CZ226/CY226,0)</f>
        <v>0</v>
      </c>
      <c r="DB226" s="4">
        <f t="shared" ref="DB226:DB231" si="2651">CY226*FH226</f>
        <v>0</v>
      </c>
      <c r="DC226" s="4">
        <f t="shared" ref="DC226:DC231" si="2652">CZ226*FH226</f>
        <v>0</v>
      </c>
      <c r="DD226" s="136">
        <f t="shared" ref="DD226:DD231" si="2653">IFERROR(DC226/DB226,0)</f>
        <v>0</v>
      </c>
      <c r="DE226" s="31">
        <v>0</v>
      </c>
      <c r="DF226" s="31">
        <v>30</v>
      </c>
      <c r="DG226" s="31">
        <v>0</v>
      </c>
      <c r="DH226" s="48">
        <f t="shared" si="2619"/>
        <v>0</v>
      </c>
      <c r="DI226" s="62">
        <v>10579.404</v>
      </c>
      <c r="DJ226" s="62">
        <v>1500067.6339999998</v>
      </c>
      <c r="DK226" s="48">
        <f t="shared" si="2620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621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622"/>
        <v>0</v>
      </c>
      <c r="DV226" s="62">
        <v>10287</v>
      </c>
      <c r="DW226" s="62">
        <v>1467906.38243596</v>
      </c>
      <c r="DX226" s="62">
        <f t="shared" si="2623"/>
        <v>0</v>
      </c>
      <c r="DY226" s="62">
        <f t="shared" si="2624"/>
        <v>0</v>
      </c>
      <c r="DZ226" s="48">
        <f t="shared" si="2625"/>
        <v>0</v>
      </c>
      <c r="EA226" s="62">
        <f t="shared" si="2626"/>
        <v>0</v>
      </c>
      <c r="EB226" s="62">
        <f t="shared" si="2627"/>
        <v>0</v>
      </c>
      <c r="EC226" s="48">
        <f t="shared" si="2628"/>
        <v>0</v>
      </c>
      <c r="ED226" s="62">
        <f t="shared" si="2629"/>
        <v>0</v>
      </c>
      <c r="EE226" s="62">
        <f t="shared" si="2630"/>
        <v>0</v>
      </c>
      <c r="EF226" s="48">
        <f t="shared" si="2631"/>
        <v>0</v>
      </c>
      <c r="EG226" s="62">
        <f t="shared" si="2632"/>
        <v>0</v>
      </c>
      <c r="EH226" s="62">
        <f t="shared" si="2633"/>
        <v>0</v>
      </c>
      <c r="EI226" s="48">
        <f t="shared" si="2634"/>
        <v>0</v>
      </c>
      <c r="EJ226" s="62">
        <f t="shared" si="2635"/>
        <v>0</v>
      </c>
      <c r="EK226" s="62">
        <f t="shared" si="2636"/>
        <v>0</v>
      </c>
      <c r="EL226" s="48">
        <f t="shared" si="2637"/>
        <v>0</v>
      </c>
      <c r="EM226" s="62">
        <f t="shared" si="2638"/>
        <v>0</v>
      </c>
      <c r="EN226" s="62">
        <f t="shared" si="2639"/>
        <v>0</v>
      </c>
      <c r="EO226" s="48">
        <f t="shared" si="2640"/>
        <v>0</v>
      </c>
      <c r="EP226" s="62">
        <f t="shared" si="2641"/>
        <v>0</v>
      </c>
      <c r="EQ226" s="62">
        <f t="shared" si="2641"/>
        <v>0</v>
      </c>
      <c r="ER226" s="62">
        <f t="shared" si="2641"/>
        <v>0</v>
      </c>
      <c r="ES226" s="62">
        <f t="shared" si="2641"/>
        <v>0</v>
      </c>
      <c r="ET226" s="62">
        <f t="shared" si="2641"/>
        <v>0</v>
      </c>
      <c r="EU226" s="62">
        <f t="shared" si="2641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42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 t="shared" si="2339"/>
        <v>1</v>
      </c>
      <c r="FS226" s="103" t="b">
        <f t="shared" si="2340"/>
        <v>1</v>
      </c>
      <c r="FT226" s="103" t="b">
        <f t="shared" si="2341"/>
        <v>0</v>
      </c>
      <c r="FU226" s="103" t="b">
        <f t="shared" si="2342"/>
        <v>0</v>
      </c>
      <c r="FV226" s="103" t="b">
        <f t="shared" si="2343"/>
        <v>1</v>
      </c>
      <c r="FW226" s="104" t="b">
        <f t="shared" si="2392"/>
        <v>0</v>
      </c>
      <c r="FX226" s="120" t="b">
        <f t="shared" si="2643"/>
        <v>1</v>
      </c>
      <c r="FY226" s="104" t="s">
        <v>368</v>
      </c>
      <c r="FZ226" s="104" t="b">
        <f t="shared" si="2644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45"/>
        <v>1</v>
      </c>
      <c r="GI226" s="8" t="b">
        <f t="shared" si="2646"/>
        <v>0</v>
      </c>
      <c r="GJ226" s="31" t="s">
        <v>203</v>
      </c>
    </row>
    <row r="227" spans="1:192" hidden="1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90"/>
        <v>нет минмакс</v>
      </c>
      <c r="Q227" s="95">
        <v>81066</v>
      </c>
      <c r="R227" s="95">
        <f t="shared" si="2591"/>
        <v>230227.44</v>
      </c>
      <c r="S227" s="114">
        <v>60040</v>
      </c>
      <c r="T227" s="114">
        <v>171714.4</v>
      </c>
      <c r="U227" s="131">
        <f t="shared" si="2592"/>
        <v>9</v>
      </c>
      <c r="V227" s="115">
        <f t="shared" si="2593"/>
        <v>87382</v>
      </c>
      <c r="W227" s="115">
        <f t="shared" si="2594"/>
        <v>248164.87999999998</v>
      </c>
      <c r="X227" s="115">
        <f t="shared" si="2595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96"/>
        <v>0</v>
      </c>
      <c r="AF227" s="95">
        <f t="shared" si="2597"/>
        <v>0</v>
      </c>
      <c r="AG227" s="114">
        <v>0</v>
      </c>
      <c r="AH227" s="95">
        <f t="shared" si="2598"/>
        <v>87382</v>
      </c>
      <c r="AI227" s="114">
        <f t="shared" si="2599"/>
        <v>248164.87999999998</v>
      </c>
      <c r="AJ227" s="114">
        <f t="shared" si="2600"/>
        <v>102942</v>
      </c>
      <c r="AK227" s="114">
        <f t="shared" si="2647"/>
        <v>348658</v>
      </c>
      <c r="AL227" s="114">
        <f t="shared" si="2601"/>
        <v>546090</v>
      </c>
      <c r="AM227" s="114">
        <f t="shared" si="2602"/>
        <v>1145343</v>
      </c>
      <c r="AN227" s="133">
        <f t="shared" si="2603"/>
        <v>9.4357760077112278</v>
      </c>
      <c r="AO227" s="133" t="str">
        <f t="shared" si="2604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605"/>
        <v>0-01</v>
      </c>
      <c r="AW227" s="126">
        <f t="shared" si="2606"/>
        <v>0</v>
      </c>
      <c r="AX227" s="138"/>
      <c r="AY227" s="115">
        <f t="shared" si="2607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608"/>
        <v>0</v>
      </c>
      <c r="BG227" s="32">
        <v>0</v>
      </c>
      <c r="BH227" s="32">
        <f t="shared" si="2609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610"/>
        <v>190890.5</v>
      </c>
      <c r="BR227" s="95">
        <f t="shared" si="2611"/>
        <v>-68946</v>
      </c>
      <c r="BS227" s="133">
        <f t="shared" si="2612"/>
        <v>-243248</v>
      </c>
      <c r="BT227" s="133">
        <f t="shared" si="2612"/>
        <v>-440708</v>
      </c>
      <c r="BU227" s="133">
        <f t="shared" si="2612"/>
        <v>-652555</v>
      </c>
      <c r="BV227" s="133">
        <f t="shared" si="2612"/>
        <v>-857831</v>
      </c>
      <c r="BW227" s="133">
        <f t="shared" si="2612"/>
        <v>-1057961</v>
      </c>
      <c r="BX227" s="133">
        <f t="shared" ref="BX227:CO228" si="2654">BW227-$BQ227</f>
        <v>-1248851.5</v>
      </c>
      <c r="BY227" s="133">
        <f t="shared" si="2654"/>
        <v>-1439742</v>
      </c>
      <c r="BZ227" s="133">
        <f t="shared" si="2654"/>
        <v>-1630632.5</v>
      </c>
      <c r="CA227" s="133">
        <f t="shared" si="2654"/>
        <v>-1821523</v>
      </c>
      <c r="CB227" s="133">
        <f t="shared" si="2654"/>
        <v>-2012413.5</v>
      </c>
      <c r="CC227" s="133">
        <f t="shared" si="2654"/>
        <v>-2203304</v>
      </c>
      <c r="CD227" s="133">
        <f t="shared" si="2654"/>
        <v>-2394194.5</v>
      </c>
      <c r="CE227" s="133">
        <f t="shared" si="2654"/>
        <v>-2585085</v>
      </c>
      <c r="CF227" s="133">
        <f t="shared" si="2654"/>
        <v>-2775975.5</v>
      </c>
      <c r="CG227" s="133">
        <f t="shared" si="2654"/>
        <v>-2966866</v>
      </c>
      <c r="CH227" s="133">
        <f t="shared" si="2654"/>
        <v>-3157756.5</v>
      </c>
      <c r="CI227" s="133">
        <f t="shared" si="2654"/>
        <v>-3348647</v>
      </c>
      <c r="CJ227" s="133">
        <f t="shared" si="2654"/>
        <v>-3539537.5</v>
      </c>
      <c r="CK227" s="133">
        <f t="shared" si="2654"/>
        <v>-3730428</v>
      </c>
      <c r="CL227" s="133">
        <f t="shared" si="2654"/>
        <v>-3921318.5</v>
      </c>
      <c r="CM227" s="133">
        <f t="shared" si="2654"/>
        <v>-4112209</v>
      </c>
      <c r="CN227" s="133">
        <f t="shared" si="2654"/>
        <v>-4303099.5</v>
      </c>
      <c r="CO227" s="133">
        <f t="shared" si="2654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614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50"/>
        <v>0</v>
      </c>
      <c r="DB227" s="4">
        <f t="shared" si="2651"/>
        <v>0</v>
      </c>
      <c r="DC227" s="4">
        <f t="shared" si="2652"/>
        <v>0</v>
      </c>
      <c r="DD227" s="136">
        <f t="shared" si="2653"/>
        <v>0</v>
      </c>
      <c r="DE227" s="31">
        <v>0</v>
      </c>
      <c r="DG227" s="31">
        <v>0</v>
      </c>
      <c r="DH227" s="48">
        <f t="shared" si="2619"/>
        <v>0</v>
      </c>
      <c r="DI227" s="62">
        <v>103482.323</v>
      </c>
      <c r="DJ227" s="62">
        <v>278334.36800000002</v>
      </c>
      <c r="DK227" s="48">
        <f t="shared" si="2620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621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622"/>
        <v>16</v>
      </c>
      <c r="DV227" s="62">
        <v>91274</v>
      </c>
      <c r="DW227" s="62">
        <v>259706.59032075634</v>
      </c>
      <c r="DX227" s="62">
        <f t="shared" si="2623"/>
        <v>0</v>
      </c>
      <c r="DY227" s="62">
        <f t="shared" si="2624"/>
        <v>0</v>
      </c>
      <c r="DZ227" s="48">
        <f t="shared" si="2625"/>
        <v>0</v>
      </c>
      <c r="EA227" s="62">
        <f t="shared" si="2626"/>
        <v>0</v>
      </c>
      <c r="EB227" s="62">
        <f t="shared" si="2627"/>
        <v>0</v>
      </c>
      <c r="EC227" s="48">
        <f t="shared" si="2628"/>
        <v>0</v>
      </c>
      <c r="ED227" s="62">
        <f t="shared" si="2629"/>
        <v>0</v>
      </c>
      <c r="EE227" s="62">
        <f t="shared" si="2630"/>
        <v>0</v>
      </c>
      <c r="EF227" s="48">
        <f t="shared" si="2631"/>
        <v>0</v>
      </c>
      <c r="EG227" s="62">
        <f t="shared" si="2632"/>
        <v>0</v>
      </c>
      <c r="EH227" s="62">
        <f t="shared" si="2633"/>
        <v>0</v>
      </c>
      <c r="EI227" s="48">
        <f t="shared" si="2634"/>
        <v>0</v>
      </c>
      <c r="EJ227" s="62">
        <f t="shared" si="2635"/>
        <v>0</v>
      </c>
      <c r="EK227" s="62">
        <f t="shared" si="2636"/>
        <v>0</v>
      </c>
      <c r="EL227" s="48">
        <f t="shared" si="2637"/>
        <v>0</v>
      </c>
      <c r="EM227" s="62">
        <f t="shared" si="2638"/>
        <v>0</v>
      </c>
      <c r="EN227" s="62">
        <f t="shared" si="2639"/>
        <v>0</v>
      </c>
      <c r="EO227" s="48">
        <f t="shared" si="2640"/>
        <v>0</v>
      </c>
      <c r="EP227" s="62">
        <f t="shared" si="2641"/>
        <v>443971.51999999996</v>
      </c>
      <c r="EQ227" s="62">
        <f t="shared" si="2641"/>
        <v>495017.68</v>
      </c>
      <c r="ER227" s="62">
        <f t="shared" si="2641"/>
        <v>560786.4</v>
      </c>
      <c r="ES227" s="62">
        <f t="shared" si="2641"/>
        <v>601645.48</v>
      </c>
      <c r="ET227" s="62">
        <f t="shared" si="2641"/>
        <v>582983.84</v>
      </c>
      <c r="EU227" s="62">
        <f t="shared" si="2641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42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 t="shared" si="2339"/>
        <v>1</v>
      </c>
      <c r="FS227" s="120" t="b">
        <f t="shared" si="2340"/>
        <v>1</v>
      </c>
      <c r="FT227" s="120" t="b">
        <f t="shared" si="2341"/>
        <v>1</v>
      </c>
      <c r="FU227" s="120" t="b">
        <f t="shared" si="2342"/>
        <v>1</v>
      </c>
      <c r="FV227" s="120" t="b">
        <f t="shared" si="2343"/>
        <v>1</v>
      </c>
      <c r="FW227" s="104" t="b">
        <f t="shared" si="2392"/>
        <v>0</v>
      </c>
      <c r="FX227" s="120" t="b">
        <f t="shared" si="2643"/>
        <v>1</v>
      </c>
      <c r="FY227" s="104" t="s">
        <v>368</v>
      </c>
      <c r="FZ227" s="104" t="b">
        <f t="shared" si="2644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45"/>
        <v>1</v>
      </c>
      <c r="GI227" s="8" t="b">
        <f t="shared" si="2646"/>
        <v>0</v>
      </c>
      <c r="GJ227" s="31" t="s">
        <v>203</v>
      </c>
    </row>
    <row r="228" spans="1:192" ht="30" hidden="1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90"/>
        <v>нет минмакс</v>
      </c>
      <c r="Q228" s="95">
        <v>0</v>
      </c>
      <c r="R228" s="95">
        <f t="shared" si="2591"/>
        <v>0</v>
      </c>
      <c r="S228" s="131">
        <v>375</v>
      </c>
      <c r="T228" s="131">
        <v>167632.5</v>
      </c>
      <c r="U228" s="131">
        <f t="shared" si="2592"/>
        <v>1.5</v>
      </c>
      <c r="V228" s="113">
        <f t="shared" si="2593"/>
        <v>0</v>
      </c>
      <c r="W228" s="113">
        <f t="shared" si="2594"/>
        <v>0</v>
      </c>
      <c r="X228" s="113">
        <f t="shared" si="2595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96"/>
        <v>0</v>
      </c>
      <c r="AF228" s="95">
        <f t="shared" si="2597"/>
        <v>0</v>
      </c>
      <c r="AG228" s="114">
        <v>0</v>
      </c>
      <c r="AH228" s="95">
        <f t="shared" si="2598"/>
        <v>0</v>
      </c>
      <c r="AI228" s="114">
        <f t="shared" si="2599"/>
        <v>0</v>
      </c>
      <c r="AJ228" s="133">
        <f t="shared" si="2600"/>
        <v>375</v>
      </c>
      <c r="AK228" s="133">
        <f t="shared" si="2647"/>
        <v>584</v>
      </c>
      <c r="AL228" s="133">
        <f t="shared" si="2601"/>
        <v>584</v>
      </c>
      <c r="AM228" s="133">
        <f t="shared" si="2602"/>
        <v>0</v>
      </c>
      <c r="AN228" s="133" t="str">
        <f t="shared" si="2603"/>
        <v>нет оборота</v>
      </c>
      <c r="AO228" s="133" t="str">
        <f t="shared" si="2604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605"/>
        <v>нет остатка</v>
      </c>
      <c r="AW228" s="117">
        <f t="shared" si="2606"/>
        <v>0</v>
      </c>
      <c r="AX228" s="14"/>
      <c r="AY228" s="25">
        <f t="shared" si="2607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608"/>
        <v>0</v>
      </c>
      <c r="BG228" s="32">
        <v>0</v>
      </c>
      <c r="BH228" s="32">
        <f t="shared" si="2609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610"/>
        <v>0</v>
      </c>
      <c r="BR228" s="95">
        <f t="shared" si="2611"/>
        <v>0</v>
      </c>
      <c r="BS228" s="133">
        <f t="shared" si="2612"/>
        <v>0</v>
      </c>
      <c r="BT228" s="133">
        <f t="shared" si="2612"/>
        <v>0</v>
      </c>
      <c r="BU228" s="133">
        <f t="shared" si="2612"/>
        <v>0</v>
      </c>
      <c r="BV228" s="133">
        <f t="shared" si="2612"/>
        <v>0</v>
      </c>
      <c r="BW228" s="133">
        <f t="shared" si="2612"/>
        <v>0</v>
      </c>
      <c r="BX228" s="133">
        <f t="shared" si="2654"/>
        <v>0</v>
      </c>
      <c r="BY228" s="133">
        <f t="shared" si="2654"/>
        <v>0</v>
      </c>
      <c r="BZ228" s="133">
        <f t="shared" si="2654"/>
        <v>0</v>
      </c>
      <c r="CA228" s="133">
        <f t="shared" si="2654"/>
        <v>0</v>
      </c>
      <c r="CB228" s="133">
        <f t="shared" si="2654"/>
        <v>0</v>
      </c>
      <c r="CC228" s="133">
        <f t="shared" si="2654"/>
        <v>0</v>
      </c>
      <c r="CD228" s="133">
        <f t="shared" si="2654"/>
        <v>0</v>
      </c>
      <c r="CE228" s="133">
        <f t="shared" si="2654"/>
        <v>0</v>
      </c>
      <c r="CF228" s="133">
        <f t="shared" si="2654"/>
        <v>0</v>
      </c>
      <c r="CG228" s="133">
        <f t="shared" si="2654"/>
        <v>0</v>
      </c>
      <c r="CH228" s="133">
        <f t="shared" si="2654"/>
        <v>0</v>
      </c>
      <c r="CI228" s="133">
        <f t="shared" si="2654"/>
        <v>0</v>
      </c>
      <c r="CJ228" s="133">
        <f t="shared" si="2654"/>
        <v>0</v>
      </c>
      <c r="CK228" s="133">
        <f t="shared" si="2654"/>
        <v>0</v>
      </c>
      <c r="CL228" s="133">
        <f t="shared" si="2654"/>
        <v>0</v>
      </c>
      <c r="CM228" s="133">
        <f t="shared" si="2654"/>
        <v>0</v>
      </c>
      <c r="CN228" s="133">
        <f t="shared" si="2654"/>
        <v>0</v>
      </c>
      <c r="CO228" s="133">
        <f t="shared" si="2654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614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50"/>
        <v>0</v>
      </c>
      <c r="DB228" s="4">
        <f t="shared" si="2651"/>
        <v>0</v>
      </c>
      <c r="DC228" s="4">
        <f t="shared" si="2652"/>
        <v>0</v>
      </c>
      <c r="DD228" s="136">
        <f t="shared" si="2653"/>
        <v>0</v>
      </c>
      <c r="DE228" s="31">
        <v>0</v>
      </c>
      <c r="DF228" s="31">
        <v>30</v>
      </c>
      <c r="DG228" s="31">
        <v>375</v>
      </c>
      <c r="DH228" s="48">
        <f t="shared" si="2619"/>
        <v>1.5</v>
      </c>
      <c r="DI228" s="62">
        <v>584.20000000000005</v>
      </c>
      <c r="DJ228" s="62">
        <v>248357.44500000001</v>
      </c>
      <c r="DK228" s="48">
        <f t="shared" si="2620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621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622"/>
        <v>1.5</v>
      </c>
      <c r="DV228" s="62">
        <v>209.2</v>
      </c>
      <c r="DW228" s="62">
        <v>93516.743222753357</v>
      </c>
      <c r="DX228" s="62">
        <f t="shared" si="2623"/>
        <v>0</v>
      </c>
      <c r="DY228" s="62">
        <f t="shared" si="2624"/>
        <v>0</v>
      </c>
      <c r="DZ228" s="48">
        <f t="shared" si="2625"/>
        <v>0</v>
      </c>
      <c r="EA228" s="62">
        <f t="shared" si="2626"/>
        <v>0</v>
      </c>
      <c r="EB228" s="62">
        <f t="shared" si="2627"/>
        <v>0</v>
      </c>
      <c r="EC228" s="48">
        <f t="shared" si="2628"/>
        <v>0</v>
      </c>
      <c r="ED228" s="62">
        <f t="shared" si="2629"/>
        <v>0</v>
      </c>
      <c r="EE228" s="62">
        <f t="shared" si="2630"/>
        <v>0</v>
      </c>
      <c r="EF228" s="48">
        <f t="shared" si="2631"/>
        <v>0</v>
      </c>
      <c r="EG228" s="62">
        <f t="shared" si="2632"/>
        <v>0</v>
      </c>
      <c r="EH228" s="62">
        <f t="shared" si="2633"/>
        <v>0</v>
      </c>
      <c r="EI228" s="48">
        <f t="shared" si="2634"/>
        <v>0</v>
      </c>
      <c r="EJ228" s="62">
        <f t="shared" si="2635"/>
        <v>0</v>
      </c>
      <c r="EK228" s="62">
        <f t="shared" si="2636"/>
        <v>0</v>
      </c>
      <c r="EL228" s="48">
        <f t="shared" si="2637"/>
        <v>0</v>
      </c>
      <c r="EM228" s="62">
        <f t="shared" si="2638"/>
        <v>0</v>
      </c>
      <c r="EN228" s="62">
        <f t="shared" si="2639"/>
        <v>0</v>
      </c>
      <c r="EO228" s="48">
        <f t="shared" si="2640"/>
        <v>0</v>
      </c>
      <c r="EP228" s="62">
        <f t="shared" si="2641"/>
        <v>0</v>
      </c>
      <c r="EQ228" s="62">
        <f t="shared" si="2641"/>
        <v>0</v>
      </c>
      <c r="ER228" s="62">
        <f t="shared" si="2641"/>
        <v>0</v>
      </c>
      <c r="ES228" s="62">
        <f t="shared" si="2641"/>
        <v>0</v>
      </c>
      <c r="ET228" s="62">
        <f t="shared" si="2641"/>
        <v>0</v>
      </c>
      <c r="EU228" s="62">
        <f t="shared" si="2641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42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 t="shared" si="2339"/>
        <v>1</v>
      </c>
      <c r="FS228" s="103" t="b">
        <f t="shared" si="2340"/>
        <v>1</v>
      </c>
      <c r="FT228" s="103" t="b">
        <f t="shared" si="2341"/>
        <v>0</v>
      </c>
      <c r="FU228" s="103" t="b">
        <f t="shared" si="2342"/>
        <v>0</v>
      </c>
      <c r="FV228" s="103" t="b">
        <f t="shared" si="2343"/>
        <v>1</v>
      </c>
      <c r="FW228" s="104" t="b">
        <f t="shared" si="2392"/>
        <v>0</v>
      </c>
      <c r="FX228" s="120" t="b">
        <f t="shared" si="2643"/>
        <v>1</v>
      </c>
      <c r="FY228" s="104" t="s">
        <v>368</v>
      </c>
      <c r="FZ228" s="104" t="b">
        <f t="shared" si="2644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45"/>
        <v>1</v>
      </c>
      <c r="GI228" s="8" t="b">
        <f t="shared" si="2646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90"/>
        <v>нет минмакс</v>
      </c>
      <c r="Q229" s="95">
        <v>110</v>
      </c>
      <c r="R229" s="95">
        <f t="shared" si="2591"/>
        <v>164005.6</v>
      </c>
      <c r="S229" s="131">
        <v>110</v>
      </c>
      <c r="T229" s="131">
        <v>164005.6</v>
      </c>
      <c r="U229" s="131">
        <f t="shared" si="2592"/>
        <v>1.5</v>
      </c>
      <c r="V229" s="113">
        <f t="shared" si="2593"/>
        <v>110</v>
      </c>
      <c r="W229" s="113">
        <f t="shared" si="2594"/>
        <v>164005.6</v>
      </c>
      <c r="X229" s="113">
        <f t="shared" si="2595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96"/>
        <v>0</v>
      </c>
      <c r="AF229" s="95">
        <f t="shared" si="2597"/>
        <v>0</v>
      </c>
      <c r="AG229" s="114">
        <v>0</v>
      </c>
      <c r="AH229" s="95">
        <f t="shared" si="2598"/>
        <v>110</v>
      </c>
      <c r="AI229" s="114">
        <f t="shared" si="2599"/>
        <v>164005.6</v>
      </c>
      <c r="AJ229" s="133">
        <f t="shared" si="2600"/>
        <v>0</v>
      </c>
      <c r="AK229" s="133">
        <f t="shared" si="2647"/>
        <v>0</v>
      </c>
      <c r="AL229" s="133">
        <f t="shared" si="2601"/>
        <v>0</v>
      </c>
      <c r="AM229" s="133">
        <f t="shared" si="2602"/>
        <v>0</v>
      </c>
      <c r="AN229" s="133" t="str">
        <f t="shared" si="2603"/>
        <v>нет оборота</v>
      </c>
      <c r="AO229" s="133" t="str">
        <f t="shared" si="2604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605"/>
        <v>Нет планов</v>
      </c>
      <c r="AW229" s="117">
        <f t="shared" si="2606"/>
        <v>164005.6</v>
      </c>
      <c r="AX229" s="14" t="s">
        <v>621</v>
      </c>
      <c r="AY229" s="25">
        <f t="shared" si="2607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608"/>
        <v>0</v>
      </c>
      <c r="BG229" s="32">
        <v>0</v>
      </c>
      <c r="BH229" s="32">
        <f t="shared" si="2609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610"/>
        <v>0</v>
      </c>
      <c r="BR229" s="95">
        <f t="shared" si="2611"/>
        <v>110</v>
      </c>
      <c r="BS229" s="133">
        <f t="shared" ref="BS229:BW233" si="2655">BR229-BL229</f>
        <v>110</v>
      </c>
      <c r="BT229" s="133">
        <f t="shared" si="2655"/>
        <v>110</v>
      </c>
      <c r="BU229" s="133">
        <f t="shared" si="2655"/>
        <v>110</v>
      </c>
      <c r="BV229" s="133">
        <f t="shared" si="2655"/>
        <v>110</v>
      </c>
      <c r="BW229" s="133">
        <f t="shared" si="2655"/>
        <v>110</v>
      </c>
      <c r="BX229" s="133">
        <f t="shared" ref="BX229:CO229" si="2656">BW229-$BQ229</f>
        <v>110</v>
      </c>
      <c r="BY229" s="133">
        <f t="shared" si="2656"/>
        <v>110</v>
      </c>
      <c r="BZ229" s="133">
        <f t="shared" si="2656"/>
        <v>110</v>
      </c>
      <c r="CA229" s="133">
        <f t="shared" si="2656"/>
        <v>110</v>
      </c>
      <c r="CB229" s="133">
        <f t="shared" si="2656"/>
        <v>110</v>
      </c>
      <c r="CC229" s="133">
        <f t="shared" si="2656"/>
        <v>110</v>
      </c>
      <c r="CD229" s="133">
        <f t="shared" si="2656"/>
        <v>110</v>
      </c>
      <c r="CE229" s="133">
        <f t="shared" si="2656"/>
        <v>110</v>
      </c>
      <c r="CF229" s="133">
        <f t="shared" si="2656"/>
        <v>110</v>
      </c>
      <c r="CG229" s="133">
        <f t="shared" si="2656"/>
        <v>110</v>
      </c>
      <c r="CH229" s="133">
        <f t="shared" si="2656"/>
        <v>110</v>
      </c>
      <c r="CI229" s="133">
        <f t="shared" si="2656"/>
        <v>110</v>
      </c>
      <c r="CJ229" s="133">
        <f t="shared" si="2656"/>
        <v>110</v>
      </c>
      <c r="CK229" s="133">
        <f t="shared" si="2656"/>
        <v>110</v>
      </c>
      <c r="CL229" s="133">
        <f t="shared" si="2656"/>
        <v>110</v>
      </c>
      <c r="CM229" s="133">
        <f t="shared" si="2656"/>
        <v>110</v>
      </c>
      <c r="CN229" s="133">
        <f t="shared" si="2656"/>
        <v>110</v>
      </c>
      <c r="CO229" s="133">
        <f t="shared" si="2656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614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50"/>
        <v>0</v>
      </c>
      <c r="DB229" s="4">
        <f t="shared" si="2651"/>
        <v>0</v>
      </c>
      <c r="DC229" s="4">
        <f t="shared" si="2652"/>
        <v>0</v>
      </c>
      <c r="DD229" s="136">
        <f t="shared" si="2653"/>
        <v>0</v>
      </c>
      <c r="DE229" s="31">
        <v>0</v>
      </c>
      <c r="DF229" s="31">
        <v>45</v>
      </c>
      <c r="DG229" s="31">
        <v>0</v>
      </c>
      <c r="DH229" s="48">
        <f t="shared" si="2619"/>
        <v>0</v>
      </c>
      <c r="DI229" s="62">
        <v>110</v>
      </c>
      <c r="DJ229" s="62">
        <v>164005.96</v>
      </c>
      <c r="DK229" s="48">
        <f t="shared" si="2620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621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622"/>
        <v>1.5</v>
      </c>
      <c r="DV229" s="62">
        <v>0</v>
      </c>
      <c r="DW229" s="62">
        <v>0</v>
      </c>
      <c r="DX229" s="62">
        <f t="shared" si="2623"/>
        <v>0</v>
      </c>
      <c r="DY229" s="62">
        <f t="shared" si="2624"/>
        <v>0</v>
      </c>
      <c r="DZ229" s="48">
        <f t="shared" si="2625"/>
        <v>0</v>
      </c>
      <c r="EA229" s="62">
        <f t="shared" si="2626"/>
        <v>0</v>
      </c>
      <c r="EB229" s="62">
        <f t="shared" si="2627"/>
        <v>0</v>
      </c>
      <c r="EC229" s="48">
        <f t="shared" si="2628"/>
        <v>0</v>
      </c>
      <c r="ED229" s="62">
        <f t="shared" si="2629"/>
        <v>0</v>
      </c>
      <c r="EE229" s="62">
        <f t="shared" si="2630"/>
        <v>0</v>
      </c>
      <c r="EF229" s="48">
        <f t="shared" si="2631"/>
        <v>0</v>
      </c>
      <c r="EG229" s="62">
        <f t="shared" si="2632"/>
        <v>0</v>
      </c>
      <c r="EH229" s="62">
        <f t="shared" si="2633"/>
        <v>0</v>
      </c>
      <c r="EI229" s="48">
        <f t="shared" si="2634"/>
        <v>0</v>
      </c>
      <c r="EJ229" s="62">
        <f t="shared" si="2635"/>
        <v>0</v>
      </c>
      <c r="EK229" s="62">
        <f t="shared" si="2636"/>
        <v>0</v>
      </c>
      <c r="EL229" s="48">
        <f t="shared" si="2637"/>
        <v>0</v>
      </c>
      <c r="EM229" s="62">
        <f t="shared" si="2638"/>
        <v>0</v>
      </c>
      <c r="EN229" s="62">
        <f t="shared" si="2639"/>
        <v>0</v>
      </c>
      <c r="EO229" s="48">
        <f t="shared" si="2640"/>
        <v>0</v>
      </c>
      <c r="EP229" s="62">
        <f t="shared" ref="EP229:ER235" si="2657">BK229*$FH229</f>
        <v>0</v>
      </c>
      <c r="EQ229" s="62">
        <f t="shared" si="2657"/>
        <v>0</v>
      </c>
      <c r="ER229" s="62">
        <f t="shared" si="2657"/>
        <v>0</v>
      </c>
      <c r="ES229" s="62">
        <f t="shared" ref="ES229:EU235" si="2658">BN229*$FH229</f>
        <v>0</v>
      </c>
      <c r="ET229" s="62">
        <f t="shared" si="2658"/>
        <v>0</v>
      </c>
      <c r="EU229" s="62">
        <f t="shared" si="2658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42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 t="shared" si="2339"/>
        <v>1</v>
      </c>
      <c r="FS229" s="103" t="b">
        <f t="shared" si="2340"/>
        <v>1</v>
      </c>
      <c r="FT229" s="103" t="b">
        <f t="shared" si="2341"/>
        <v>1</v>
      </c>
      <c r="FU229" s="103" t="b">
        <f t="shared" si="2342"/>
        <v>0</v>
      </c>
      <c r="FV229" s="103" t="b">
        <f t="shared" si="2343"/>
        <v>1</v>
      </c>
      <c r="FW229" s="104" t="b">
        <f t="shared" si="2392"/>
        <v>0</v>
      </c>
      <c r="FX229" s="120" t="b">
        <f t="shared" si="2643"/>
        <v>1</v>
      </c>
      <c r="FY229" s="104" t="s">
        <v>491</v>
      </c>
      <c r="FZ229" s="104" t="b">
        <f t="shared" si="2644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45"/>
        <v>1</v>
      </c>
      <c r="GI229" s="8" t="b">
        <f t="shared" si="2646"/>
        <v>0</v>
      </c>
      <c r="GJ229" s="31" t="s">
        <v>203</v>
      </c>
    </row>
    <row r="230" spans="1:192" ht="30" hidden="1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90"/>
        <v>нет минмакс</v>
      </c>
      <c r="Q230" s="95">
        <v>1643.237060546875</v>
      </c>
      <c r="R230" s="95">
        <f t="shared" si="2591"/>
        <v>234917.17017578127</v>
      </c>
      <c r="S230" s="114">
        <v>1040</v>
      </c>
      <c r="T230" s="114">
        <v>162520.80000000002</v>
      </c>
      <c r="U230" s="131">
        <f t="shared" si="2592"/>
        <v>0</v>
      </c>
      <c r="V230" s="115">
        <f t="shared" si="2593"/>
        <v>322.73199462890625</v>
      </c>
      <c r="W230" s="115">
        <f t="shared" si="2594"/>
        <v>46137.765952148438</v>
      </c>
      <c r="X230" s="115">
        <f t="shared" si="2595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96"/>
        <v>0</v>
      </c>
      <c r="AF230" s="95">
        <f t="shared" si="2597"/>
        <v>0</v>
      </c>
      <c r="AG230" s="114">
        <v>0</v>
      </c>
      <c r="AH230" s="95">
        <f t="shared" si="2598"/>
        <v>322.73199462890625</v>
      </c>
      <c r="AI230" s="114">
        <f t="shared" si="2599"/>
        <v>46137.765952148438</v>
      </c>
      <c r="AJ230" s="114">
        <f t="shared" si="2600"/>
        <v>8298</v>
      </c>
      <c r="AK230" s="114">
        <f t="shared" si="2647"/>
        <v>19707</v>
      </c>
      <c r="AL230" s="114">
        <f t="shared" si="2601"/>
        <v>20589</v>
      </c>
      <c r="AM230" s="114">
        <f t="shared" si="2602"/>
        <v>0</v>
      </c>
      <c r="AN230" s="133" t="str">
        <f t="shared" si="2603"/>
        <v>нет оборота</v>
      </c>
      <c r="AO230" s="133" t="str">
        <f t="shared" si="2604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605"/>
        <v>Нет планов</v>
      </c>
      <c r="AW230" s="126">
        <f t="shared" si="2606"/>
        <v>46137.765952148438</v>
      </c>
      <c r="AX230" s="138"/>
      <c r="AY230" s="115">
        <f t="shared" si="2607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608"/>
        <v>0</v>
      </c>
      <c r="BG230" s="32">
        <v>0</v>
      </c>
      <c r="BH230" s="32">
        <f t="shared" si="2609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610"/>
        <v>0</v>
      </c>
      <c r="BR230" s="95">
        <f t="shared" si="2611"/>
        <v>322.73199462890625</v>
      </c>
      <c r="BS230" s="133">
        <f t="shared" si="2655"/>
        <v>322.73199462890625</v>
      </c>
      <c r="BT230" s="133">
        <f t="shared" si="2655"/>
        <v>322.73199462890625</v>
      </c>
      <c r="BU230" s="133">
        <f t="shared" si="2655"/>
        <v>322.73199462890625</v>
      </c>
      <c r="BV230" s="133">
        <f t="shared" si="2655"/>
        <v>322.73199462890625</v>
      </c>
      <c r="BW230" s="133">
        <f t="shared" si="2655"/>
        <v>322.73199462890625</v>
      </c>
      <c r="BX230" s="133">
        <f t="shared" ref="BX230:CO231" si="2659">BW230-$BQ230</f>
        <v>322.73199462890625</v>
      </c>
      <c r="BY230" s="133">
        <f t="shared" si="2659"/>
        <v>322.73199462890625</v>
      </c>
      <c r="BZ230" s="133">
        <f t="shared" si="2659"/>
        <v>322.73199462890625</v>
      </c>
      <c r="CA230" s="133">
        <f t="shared" si="2659"/>
        <v>322.73199462890625</v>
      </c>
      <c r="CB230" s="133">
        <f t="shared" si="2659"/>
        <v>322.73199462890625</v>
      </c>
      <c r="CC230" s="133">
        <f t="shared" si="2659"/>
        <v>322.73199462890625</v>
      </c>
      <c r="CD230" s="133">
        <f t="shared" si="2659"/>
        <v>322.73199462890625</v>
      </c>
      <c r="CE230" s="133">
        <f t="shared" si="2659"/>
        <v>322.73199462890625</v>
      </c>
      <c r="CF230" s="133">
        <f t="shared" si="2659"/>
        <v>322.73199462890625</v>
      </c>
      <c r="CG230" s="133">
        <f t="shared" si="2659"/>
        <v>322.73199462890625</v>
      </c>
      <c r="CH230" s="133">
        <f t="shared" si="2659"/>
        <v>322.73199462890625</v>
      </c>
      <c r="CI230" s="133">
        <f t="shared" si="2659"/>
        <v>322.73199462890625</v>
      </c>
      <c r="CJ230" s="133">
        <f t="shared" si="2659"/>
        <v>322.73199462890625</v>
      </c>
      <c r="CK230" s="133">
        <f t="shared" si="2659"/>
        <v>322.73199462890625</v>
      </c>
      <c r="CL230" s="133">
        <f t="shared" si="2659"/>
        <v>322.73199462890625</v>
      </c>
      <c r="CM230" s="133">
        <f t="shared" si="2659"/>
        <v>322.73199462890625</v>
      </c>
      <c r="CN230" s="133">
        <f t="shared" si="2659"/>
        <v>322.73199462890625</v>
      </c>
      <c r="CO230" s="133">
        <f t="shared" si="2659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614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50"/>
        <v>0</v>
      </c>
      <c r="DB230" s="4">
        <f t="shared" si="2651"/>
        <v>0</v>
      </c>
      <c r="DC230" s="4">
        <f t="shared" si="2652"/>
        <v>0</v>
      </c>
      <c r="DD230" s="136">
        <f t="shared" si="2653"/>
        <v>0</v>
      </c>
      <c r="DE230" s="31">
        <v>0</v>
      </c>
      <c r="DG230" s="31">
        <v>0</v>
      </c>
      <c r="DH230" s="48">
        <f t="shared" si="2619"/>
        <v>0</v>
      </c>
      <c r="DI230" s="62">
        <v>0</v>
      </c>
      <c r="DJ230" s="62">
        <v>0</v>
      </c>
      <c r="DK230" s="48">
        <f t="shared" si="2620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621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622"/>
        <v>0</v>
      </c>
      <c r="DV230" s="62">
        <v>3403.3290000000002</v>
      </c>
      <c r="DW230" s="62">
        <v>526228.77644128888</v>
      </c>
      <c r="DX230" s="62">
        <f t="shared" si="2623"/>
        <v>0</v>
      </c>
      <c r="DY230" s="62">
        <f t="shared" si="2624"/>
        <v>0</v>
      </c>
      <c r="DZ230" s="48">
        <f t="shared" si="2625"/>
        <v>0</v>
      </c>
      <c r="EA230" s="62">
        <f t="shared" si="2626"/>
        <v>0</v>
      </c>
      <c r="EB230" s="62">
        <f t="shared" si="2627"/>
        <v>0</v>
      </c>
      <c r="EC230" s="48">
        <f t="shared" si="2628"/>
        <v>0</v>
      </c>
      <c r="ED230" s="62">
        <f t="shared" si="2629"/>
        <v>0</v>
      </c>
      <c r="EE230" s="62">
        <f t="shared" si="2630"/>
        <v>0</v>
      </c>
      <c r="EF230" s="48">
        <f t="shared" si="2631"/>
        <v>0</v>
      </c>
      <c r="EG230" s="62">
        <f t="shared" si="2632"/>
        <v>0</v>
      </c>
      <c r="EH230" s="62">
        <f t="shared" si="2633"/>
        <v>0</v>
      </c>
      <c r="EI230" s="48">
        <f t="shared" si="2634"/>
        <v>0</v>
      </c>
      <c r="EJ230" s="62">
        <f t="shared" si="2635"/>
        <v>0</v>
      </c>
      <c r="EK230" s="62">
        <f t="shared" si="2636"/>
        <v>0</v>
      </c>
      <c r="EL230" s="48">
        <f t="shared" si="2637"/>
        <v>0</v>
      </c>
      <c r="EM230" s="62">
        <f t="shared" si="2638"/>
        <v>0</v>
      </c>
      <c r="EN230" s="62">
        <f t="shared" si="2639"/>
        <v>0</v>
      </c>
      <c r="EO230" s="48">
        <f t="shared" si="2640"/>
        <v>0</v>
      </c>
      <c r="EP230" s="62">
        <f t="shared" si="2657"/>
        <v>0</v>
      </c>
      <c r="EQ230" s="62">
        <f t="shared" si="2657"/>
        <v>0</v>
      </c>
      <c r="ER230" s="62">
        <f t="shared" si="2657"/>
        <v>0</v>
      </c>
      <c r="ES230" s="62">
        <f t="shared" si="2658"/>
        <v>0</v>
      </c>
      <c r="ET230" s="62">
        <f t="shared" si="2658"/>
        <v>0</v>
      </c>
      <c r="EU230" s="62">
        <f t="shared" si="2658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42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 t="shared" si="2339"/>
        <v>1</v>
      </c>
      <c r="FS230" s="120" t="b">
        <f t="shared" si="2340"/>
        <v>1</v>
      </c>
      <c r="FT230" s="120" t="b">
        <f t="shared" si="2341"/>
        <v>1</v>
      </c>
      <c r="FU230" s="120" t="b">
        <f t="shared" si="2342"/>
        <v>1</v>
      </c>
      <c r="FV230" s="120" t="b">
        <f t="shared" si="2343"/>
        <v>1</v>
      </c>
      <c r="FW230" s="104" t="b">
        <f t="shared" si="2392"/>
        <v>0</v>
      </c>
      <c r="FX230" s="120" t="b">
        <f t="shared" si="2643"/>
        <v>1</v>
      </c>
      <c r="FY230" s="104" t="s">
        <v>368</v>
      </c>
      <c r="FZ230" s="104" t="b">
        <f t="shared" si="2644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45"/>
        <v>1</v>
      </c>
      <c r="GI230" s="8" t="b">
        <f t="shared" si="2646"/>
        <v>0</v>
      </c>
      <c r="GJ230" s="31" t="s">
        <v>203</v>
      </c>
    </row>
    <row r="231" spans="1:192" hidden="1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90"/>
        <v>нет минмакс</v>
      </c>
      <c r="Q231" s="95">
        <v>80600</v>
      </c>
      <c r="R231" s="95">
        <f t="shared" si="2591"/>
        <v>153946</v>
      </c>
      <c r="S231" s="114">
        <v>76373</v>
      </c>
      <c r="T231" s="114">
        <v>155037.18999999997</v>
      </c>
      <c r="U231" s="131">
        <f t="shared" si="2592"/>
        <v>3</v>
      </c>
      <c r="V231" s="115">
        <f t="shared" si="2593"/>
        <v>69688</v>
      </c>
      <c r="W231" s="115">
        <f t="shared" si="2594"/>
        <v>133104.07999999999</v>
      </c>
      <c r="X231" s="115">
        <f t="shared" si="2595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96"/>
        <v>0</v>
      </c>
      <c r="AF231" s="95">
        <f t="shared" si="2597"/>
        <v>0</v>
      </c>
      <c r="AG231" s="114">
        <v>0</v>
      </c>
      <c r="AH231" s="95">
        <f t="shared" si="2598"/>
        <v>69688</v>
      </c>
      <c r="AI231" s="114">
        <f t="shared" si="2599"/>
        <v>133104.07999999999</v>
      </c>
      <c r="AJ231" s="114">
        <f t="shared" si="2600"/>
        <v>164637</v>
      </c>
      <c r="AK231" s="114">
        <f t="shared" si="2647"/>
        <v>388021</v>
      </c>
      <c r="AL231" s="114">
        <f t="shared" si="2601"/>
        <v>582077</v>
      </c>
      <c r="AM231" s="114">
        <f t="shared" si="2602"/>
        <v>1042887</v>
      </c>
      <c r="AN231" s="133">
        <f t="shared" si="2603"/>
        <v>13.181811644022796</v>
      </c>
      <c r="AO231" s="133" t="str">
        <f t="shared" si="2604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605"/>
        <v>0-01</v>
      </c>
      <c r="AW231" s="126">
        <f t="shared" si="2606"/>
        <v>0</v>
      </c>
      <c r="AX231" s="138"/>
      <c r="AY231" s="115">
        <f t="shared" si="2607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608"/>
        <v>0</v>
      </c>
      <c r="BG231" s="32">
        <v>0</v>
      </c>
      <c r="BH231" s="32">
        <f t="shared" si="2609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610"/>
        <v>173814.5</v>
      </c>
      <c r="BR231" s="95">
        <f t="shared" si="2611"/>
        <v>-115479</v>
      </c>
      <c r="BS231" s="133">
        <f t="shared" si="2655"/>
        <v>-300309</v>
      </c>
      <c r="BT231" s="133">
        <f t="shared" si="2655"/>
        <v>-528282</v>
      </c>
      <c r="BU231" s="133">
        <f t="shared" si="2655"/>
        <v>-763467</v>
      </c>
      <c r="BV231" s="133">
        <f t="shared" si="2655"/>
        <v>-886760</v>
      </c>
      <c r="BW231" s="133">
        <f t="shared" si="2655"/>
        <v>-962287</v>
      </c>
      <c r="BX231" s="133">
        <f t="shared" si="2659"/>
        <v>-1136101.5</v>
      </c>
      <c r="BY231" s="133">
        <f t="shared" si="2659"/>
        <v>-1309916</v>
      </c>
      <c r="BZ231" s="133">
        <f t="shared" si="2659"/>
        <v>-1483730.5</v>
      </c>
      <c r="CA231" s="133">
        <f t="shared" si="2659"/>
        <v>-1657545</v>
      </c>
      <c r="CB231" s="133">
        <f t="shared" si="2659"/>
        <v>-1831359.5</v>
      </c>
      <c r="CC231" s="133">
        <f t="shared" si="2659"/>
        <v>-2005174</v>
      </c>
      <c r="CD231" s="133">
        <f t="shared" si="2659"/>
        <v>-2178988.5</v>
      </c>
      <c r="CE231" s="133">
        <f t="shared" si="2659"/>
        <v>-2352803</v>
      </c>
      <c r="CF231" s="133">
        <f t="shared" si="2659"/>
        <v>-2526617.5</v>
      </c>
      <c r="CG231" s="133">
        <f t="shared" si="2659"/>
        <v>-2700432</v>
      </c>
      <c r="CH231" s="133">
        <f t="shared" si="2659"/>
        <v>-2874246.5</v>
      </c>
      <c r="CI231" s="133">
        <f t="shared" si="2659"/>
        <v>-3048061</v>
      </c>
      <c r="CJ231" s="133">
        <f t="shared" si="2659"/>
        <v>-3221875.5</v>
      </c>
      <c r="CK231" s="133">
        <f t="shared" si="2659"/>
        <v>-3395690</v>
      </c>
      <c r="CL231" s="133">
        <f t="shared" si="2659"/>
        <v>-3569504.5</v>
      </c>
      <c r="CM231" s="133">
        <f t="shared" si="2659"/>
        <v>-3743319</v>
      </c>
      <c r="CN231" s="133">
        <f t="shared" si="2659"/>
        <v>-3917133.5</v>
      </c>
      <c r="CO231" s="133">
        <f t="shared" si="2659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614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50"/>
        <v>0</v>
      </c>
      <c r="DB231" s="4">
        <f t="shared" si="2651"/>
        <v>0</v>
      </c>
      <c r="DC231" s="4">
        <f t="shared" si="2652"/>
        <v>0</v>
      </c>
      <c r="DD231" s="136">
        <f t="shared" si="2653"/>
        <v>0</v>
      </c>
      <c r="DE231" s="31">
        <v>0</v>
      </c>
      <c r="DG231" s="31">
        <v>0</v>
      </c>
      <c r="DH231" s="48">
        <f t="shared" si="2619"/>
        <v>0</v>
      </c>
      <c r="DI231" s="62">
        <v>16227.517</v>
      </c>
      <c r="DJ231" s="62">
        <v>34505.623</v>
      </c>
      <c r="DK231" s="48">
        <f t="shared" si="2620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621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622"/>
        <v>2</v>
      </c>
      <c r="DV231" s="62">
        <v>87459</v>
      </c>
      <c r="DW231" s="62">
        <v>184096.49776643375</v>
      </c>
      <c r="DX231" s="62">
        <f t="shared" si="2623"/>
        <v>0</v>
      </c>
      <c r="DY231" s="62">
        <f t="shared" si="2624"/>
        <v>0</v>
      </c>
      <c r="DZ231" s="48">
        <f t="shared" si="2625"/>
        <v>0</v>
      </c>
      <c r="EA231" s="62">
        <f t="shared" si="2626"/>
        <v>0</v>
      </c>
      <c r="EB231" s="62">
        <f t="shared" si="2627"/>
        <v>0</v>
      </c>
      <c r="EC231" s="48">
        <f t="shared" si="2628"/>
        <v>0</v>
      </c>
      <c r="ED231" s="62">
        <f t="shared" si="2629"/>
        <v>0</v>
      </c>
      <c r="EE231" s="62">
        <f t="shared" si="2630"/>
        <v>0</v>
      </c>
      <c r="EF231" s="48">
        <f t="shared" si="2631"/>
        <v>0</v>
      </c>
      <c r="EG231" s="62">
        <f t="shared" si="2632"/>
        <v>0</v>
      </c>
      <c r="EH231" s="62">
        <f t="shared" si="2633"/>
        <v>0</v>
      </c>
      <c r="EI231" s="48">
        <f t="shared" si="2634"/>
        <v>0</v>
      </c>
      <c r="EJ231" s="62">
        <f t="shared" si="2635"/>
        <v>0</v>
      </c>
      <c r="EK231" s="62">
        <f t="shared" si="2636"/>
        <v>0</v>
      </c>
      <c r="EL231" s="48">
        <f t="shared" si="2637"/>
        <v>0</v>
      </c>
      <c r="EM231" s="62">
        <f t="shared" si="2638"/>
        <v>0</v>
      </c>
      <c r="EN231" s="62">
        <f t="shared" si="2639"/>
        <v>0</v>
      </c>
      <c r="EO231" s="48">
        <f t="shared" si="2640"/>
        <v>0</v>
      </c>
      <c r="EP231" s="62">
        <f t="shared" si="2657"/>
        <v>374510.88999999996</v>
      </c>
      <c r="EQ231" s="62">
        <f t="shared" si="2657"/>
        <v>353025.3</v>
      </c>
      <c r="ER231" s="62">
        <f t="shared" si="2657"/>
        <v>435428.43</v>
      </c>
      <c r="ES231" s="62">
        <f t="shared" si="2658"/>
        <v>449203.35</v>
      </c>
      <c r="ET231" s="62">
        <f t="shared" si="2658"/>
        <v>235489.63</v>
      </c>
      <c r="EU231" s="62">
        <f t="shared" si="2658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42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 t="shared" si="2339"/>
        <v>1</v>
      </c>
      <c r="FS231" s="120" t="b">
        <f t="shared" si="2340"/>
        <v>1</v>
      </c>
      <c r="FT231" s="120" t="b">
        <f t="shared" si="2341"/>
        <v>1</v>
      </c>
      <c r="FU231" s="120" t="b">
        <f t="shared" si="2342"/>
        <v>1</v>
      </c>
      <c r="FV231" s="120" t="b">
        <f t="shared" si="2343"/>
        <v>1</v>
      </c>
      <c r="FW231" s="104" t="b">
        <f t="shared" si="2392"/>
        <v>0</v>
      </c>
      <c r="FX231" s="120" t="b">
        <f t="shared" si="2643"/>
        <v>1</v>
      </c>
      <c r="FY231" s="104" t="s">
        <v>368</v>
      </c>
      <c r="FZ231" s="104" t="b">
        <f t="shared" si="2644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45"/>
        <v>1</v>
      </c>
      <c r="GI231" s="8" t="b">
        <f t="shared" si="2646"/>
        <v>0</v>
      </c>
      <c r="GJ231" s="31" t="s">
        <v>203</v>
      </c>
    </row>
    <row r="232" spans="1:192" ht="30" hidden="1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60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61">Q232*FH232</f>
        <v>527380.71635742194</v>
      </c>
      <c r="S232" s="114">
        <v>949.1300048828125</v>
      </c>
      <c r="T232" s="114">
        <v>146811.42915527345</v>
      </c>
      <c r="U232" s="131">
        <f t="shared" ref="U232:U236" si="2662">IFERROR(ROUNDUP(S232/$EX232,0)*$EY232,0)</f>
        <v>0</v>
      </c>
      <c r="V232" s="115">
        <f t="shared" ref="V232:V237" si="2663">SUM(Z232:AD232)</f>
        <v>620</v>
      </c>
      <c r="W232" s="115">
        <f t="shared" ref="W232:W236" si="2664">V232*FH232</f>
        <v>87531.6</v>
      </c>
      <c r="X232" s="115">
        <f t="shared" ref="X232:X236" si="2665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66">AA232*FH232</f>
        <v>0</v>
      </c>
      <c r="AF232" s="95">
        <f t="shared" ref="AF232:AF236" si="2667">AB232*FH232</f>
        <v>0</v>
      </c>
      <c r="AG232" s="114">
        <v>0</v>
      </c>
      <c r="AH232" s="95">
        <f t="shared" ref="AH232:AH237" si="2668">V232-AG232</f>
        <v>620</v>
      </c>
      <c r="AI232" s="114">
        <f t="shared" ref="AI232:AI236" si="2669">IF(AH232&gt;0,AH232*FH232,0)</f>
        <v>87531.6</v>
      </c>
      <c r="AJ232" s="114">
        <f t="shared" ref="AJ232:AJ237" si="2670">CU232</f>
        <v>29518</v>
      </c>
      <c r="AK232" s="114">
        <f t="shared" ref="AK232:AK238" si="2671">SUM(CS232:CU232)</f>
        <v>47997</v>
      </c>
      <c r="AL232" s="114">
        <f t="shared" ref="AL232:AL237" si="2672">SUM(CP232:CU232)</f>
        <v>78108</v>
      </c>
      <c r="AM232" s="114">
        <f t="shared" ref="AM232:AM237" si="2673">SUM(BK232:BP232)</f>
        <v>0</v>
      </c>
      <c r="AN232" s="133" t="str">
        <f t="shared" ref="AN232:AN236" si="2674">IFERROR(S232/BQ232*30,"нет оборота")</f>
        <v>нет оборота</v>
      </c>
      <c r="AO232" s="133" t="str">
        <f t="shared" ref="AO232:AO236" si="2675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76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77">IF(AT232="Да",W232,0)</f>
        <v>87531.6</v>
      </c>
      <c r="AX232" s="138"/>
      <c r="AY232" s="115">
        <f t="shared" ref="AY232:AY236" si="2678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79">BE232*FH232</f>
        <v>0</v>
      </c>
      <c r="BG232" s="32">
        <v>0</v>
      </c>
      <c r="BH232" s="32">
        <f t="shared" ref="BH232:BH236" si="2680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81">IF(COUNTIF(BK232:BP232,"&gt;0")=0,0,SUM(BK232:BP232)/COUNTIF(BK232:BP232,"&gt;0"))</f>
        <v>0</v>
      </c>
      <c r="BR232" s="95">
        <f t="shared" ref="BR232:BR236" si="2682">IF(OR(Q232=0,SUM(BK232:BP232)=0,V232&gt;Q232),V232-BK232,Q232-BK232)</f>
        <v>620</v>
      </c>
      <c r="BS232" s="133">
        <f t="shared" si="2655"/>
        <v>620</v>
      </c>
      <c r="BT232" s="133">
        <f t="shared" si="2655"/>
        <v>620</v>
      </c>
      <c r="BU232" s="133">
        <f t="shared" si="2655"/>
        <v>620</v>
      </c>
      <c r="BV232" s="133">
        <f t="shared" si="2655"/>
        <v>620</v>
      </c>
      <c r="BW232" s="133">
        <f t="shared" si="2655"/>
        <v>620</v>
      </c>
      <c r="BX232" s="133">
        <f t="shared" ref="BX232:CO232" si="2683">BW232-$BQ232</f>
        <v>620</v>
      </c>
      <c r="BY232" s="133">
        <f t="shared" si="2683"/>
        <v>620</v>
      </c>
      <c r="BZ232" s="133">
        <f t="shared" si="2683"/>
        <v>620</v>
      </c>
      <c r="CA232" s="133">
        <f t="shared" si="2683"/>
        <v>620</v>
      </c>
      <c r="CB232" s="133">
        <f t="shared" si="2683"/>
        <v>620</v>
      </c>
      <c r="CC232" s="133">
        <f t="shared" si="2683"/>
        <v>620</v>
      </c>
      <c r="CD232" s="133">
        <f t="shared" si="2683"/>
        <v>620</v>
      </c>
      <c r="CE232" s="133">
        <f t="shared" si="2683"/>
        <v>620</v>
      </c>
      <c r="CF232" s="133">
        <f t="shared" si="2683"/>
        <v>620</v>
      </c>
      <c r="CG232" s="133">
        <f t="shared" si="2683"/>
        <v>620</v>
      </c>
      <c r="CH232" s="133">
        <f t="shared" si="2683"/>
        <v>620</v>
      </c>
      <c r="CI232" s="133">
        <f t="shared" si="2683"/>
        <v>620</v>
      </c>
      <c r="CJ232" s="133">
        <f t="shared" si="2683"/>
        <v>620</v>
      </c>
      <c r="CK232" s="133">
        <f t="shared" si="2683"/>
        <v>620</v>
      </c>
      <c r="CL232" s="133">
        <f t="shared" si="2683"/>
        <v>620</v>
      </c>
      <c r="CM232" s="133">
        <f t="shared" si="2683"/>
        <v>620</v>
      </c>
      <c r="CN232" s="133">
        <f t="shared" si="2683"/>
        <v>620</v>
      </c>
      <c r="CO232" s="133">
        <f t="shared" si="2683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84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85">IFERROR(CZ232/CY232,0)</f>
        <v>0</v>
      </c>
      <c r="DB232" s="4">
        <f t="shared" ref="DB232:DB234" si="2686">CY232*FH232</f>
        <v>0</v>
      </c>
      <c r="DC232" s="4">
        <f t="shared" ref="DC232:DC234" si="2687">CZ232*FH232</f>
        <v>0</v>
      </c>
      <c r="DD232" s="136">
        <f t="shared" ref="DD232:DD234" si="2688">IFERROR(DC232/DB232,0)</f>
        <v>0</v>
      </c>
      <c r="DE232" s="31">
        <v>0</v>
      </c>
      <c r="DG232" s="31">
        <v>0</v>
      </c>
      <c r="DH232" s="48">
        <f t="shared" ref="DH232:DH237" si="2689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90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91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92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93">$DF232*BK232/30</f>
        <v>0</v>
      </c>
      <c r="DY232" s="62">
        <f t="shared" ref="DY232:DY236" si="2694">DX232*$FH232</f>
        <v>0</v>
      </c>
      <c r="DZ232" s="48">
        <f t="shared" ref="DZ232:DZ237" si="2695">IFERROR(ROUNDUP(DX232/$EX232,0)*$EY232,0)</f>
        <v>0</v>
      </c>
      <c r="EA232" s="62">
        <f t="shared" ref="EA232:EA237" si="2696">$DF232*BL232/30</f>
        <v>0</v>
      </c>
      <c r="EB232" s="62">
        <f t="shared" ref="EB232:EB236" si="2697">EA232*$FH232</f>
        <v>0</v>
      </c>
      <c r="EC232" s="48">
        <f t="shared" ref="EC232:EC237" si="2698">IFERROR(ROUNDUP(EA232/$EX232,0)*$EY232,0)</f>
        <v>0</v>
      </c>
      <c r="ED232" s="62">
        <f t="shared" ref="ED232:ED237" si="2699">$DF232*BM232/30</f>
        <v>0</v>
      </c>
      <c r="EE232" s="62">
        <f t="shared" ref="EE232:EE236" si="2700">ED232*$FH232</f>
        <v>0</v>
      </c>
      <c r="EF232" s="48">
        <f t="shared" ref="EF232:EF237" si="2701">IFERROR(ROUNDUP(ED232/$EX232,0)*$EY232,0)</f>
        <v>0</v>
      </c>
      <c r="EG232" s="62">
        <f t="shared" ref="EG232:EG237" si="2702">$DF232*BN232/30</f>
        <v>0</v>
      </c>
      <c r="EH232" s="62">
        <f t="shared" ref="EH232:EH236" si="2703">EG232*$FH232</f>
        <v>0</v>
      </c>
      <c r="EI232" s="48">
        <f t="shared" ref="EI232:EI237" si="2704">IFERROR(ROUNDUP(EG232/$EX232,0)*$EY232,0)</f>
        <v>0</v>
      </c>
      <c r="EJ232" s="62">
        <f t="shared" ref="EJ232:EJ237" si="2705">$DF232*BO232/30</f>
        <v>0</v>
      </c>
      <c r="EK232" s="62">
        <f t="shared" ref="EK232:EK236" si="2706">EJ232*$FH232</f>
        <v>0</v>
      </c>
      <c r="EL232" s="48">
        <f t="shared" ref="EL232:EL237" si="2707">IFERROR(ROUNDUP(EJ232/$EX232,0)*$EY232,0)</f>
        <v>0</v>
      </c>
      <c r="EM232" s="62">
        <f t="shared" ref="EM232:EM237" si="2708">$DF232*BP232/30</f>
        <v>0</v>
      </c>
      <c r="EN232" s="62">
        <f t="shared" ref="EN232:EN236" si="2709">EM232*$FH232</f>
        <v>0</v>
      </c>
      <c r="EO232" s="48">
        <f t="shared" ref="EO232:EO237" si="2710">IFERROR(ROUNDUP(EM232/$EX232,0)*$EY232,0)</f>
        <v>0</v>
      </c>
      <c r="EP232" s="62">
        <f t="shared" si="2657"/>
        <v>0</v>
      </c>
      <c r="EQ232" s="62">
        <f t="shared" si="2657"/>
        <v>0</v>
      </c>
      <c r="ER232" s="62">
        <f t="shared" si="2657"/>
        <v>0</v>
      </c>
      <c r="ES232" s="62">
        <f t="shared" si="2658"/>
        <v>0</v>
      </c>
      <c r="ET232" s="62">
        <f t="shared" si="2658"/>
        <v>0</v>
      </c>
      <c r="EU232" s="62">
        <f t="shared" si="2658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711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 t="shared" si="2339"/>
        <v>1</v>
      </c>
      <c r="FS232" s="120" t="b">
        <f t="shared" si="2340"/>
        <v>1</v>
      </c>
      <c r="FT232" s="120" t="b">
        <f t="shared" si="2341"/>
        <v>1</v>
      </c>
      <c r="FU232" s="120" t="b">
        <f t="shared" si="2342"/>
        <v>1</v>
      </c>
      <c r="FV232" s="120" t="b">
        <f t="shared" si="2343"/>
        <v>1</v>
      </c>
      <c r="FW232" s="104" t="b">
        <f t="shared" si="2392"/>
        <v>0</v>
      </c>
      <c r="FX232" s="120" t="b">
        <f t="shared" ref="FX232:FX237" si="2712">EXACT(FQ232,BI232)</f>
        <v>1</v>
      </c>
      <c r="FY232" s="104" t="s">
        <v>368</v>
      </c>
      <c r="FZ232" s="104" t="b">
        <f t="shared" ref="FZ232:FZ237" si="2713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714">EXACT(GD232,C232)</f>
        <v>1</v>
      </c>
      <c r="GI232" s="8" t="b">
        <f t="shared" ref="GI232:GI237" si="2715">EXACT(GG232,G232)</f>
        <v>0</v>
      </c>
      <c r="GJ232" s="31" t="s">
        <v>203</v>
      </c>
    </row>
    <row r="233" spans="1:192" ht="45" hidden="1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60"/>
        <v>нет минмакс</v>
      </c>
      <c r="Q233" s="95">
        <v>415</v>
      </c>
      <c r="R233" s="95">
        <f t="shared" si="2661"/>
        <v>107194.5</v>
      </c>
      <c r="S233" s="131">
        <v>552</v>
      </c>
      <c r="T233" s="131">
        <v>142802.4</v>
      </c>
      <c r="U233" s="131">
        <f t="shared" si="2662"/>
        <v>1.5</v>
      </c>
      <c r="V233" s="113">
        <f t="shared" si="2663"/>
        <v>415</v>
      </c>
      <c r="W233" s="113">
        <f t="shared" si="2664"/>
        <v>107194.5</v>
      </c>
      <c r="X233" s="113">
        <f t="shared" si="2665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66"/>
        <v>0</v>
      </c>
      <c r="AF233" s="95">
        <f t="shared" si="2667"/>
        <v>0</v>
      </c>
      <c r="AG233" s="114">
        <v>0</v>
      </c>
      <c r="AH233" s="95">
        <f t="shared" si="2668"/>
        <v>415</v>
      </c>
      <c r="AI233" s="114">
        <f t="shared" si="2669"/>
        <v>107194.5</v>
      </c>
      <c r="AJ233" s="133">
        <f t="shared" si="2670"/>
        <v>0</v>
      </c>
      <c r="AK233" s="133">
        <f t="shared" si="2671"/>
        <v>801</v>
      </c>
      <c r="AL233" s="133">
        <f t="shared" si="2672"/>
        <v>820</v>
      </c>
      <c r="AM233" s="133">
        <f t="shared" si="2673"/>
        <v>0</v>
      </c>
      <c r="AN233" s="133" t="str">
        <f t="shared" si="2674"/>
        <v>нет оборота</v>
      </c>
      <c r="AO233" s="133" t="str">
        <f t="shared" si="2675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76"/>
        <v>Нет планов</v>
      </c>
      <c r="AW233" s="117">
        <f t="shared" si="2677"/>
        <v>107194.5</v>
      </c>
      <c r="AX233" s="14"/>
      <c r="AY233" s="25">
        <f t="shared" si="2678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79"/>
        <v>0</v>
      </c>
      <c r="BG233" s="32">
        <v>0</v>
      </c>
      <c r="BH233" s="32">
        <f t="shared" si="2680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81"/>
        <v>0</v>
      </c>
      <c r="BR233" s="95">
        <f t="shared" si="2682"/>
        <v>415</v>
      </c>
      <c r="BS233" s="133">
        <f t="shared" si="2655"/>
        <v>415</v>
      </c>
      <c r="BT233" s="133">
        <f t="shared" si="2655"/>
        <v>415</v>
      </c>
      <c r="BU233" s="133">
        <f t="shared" si="2655"/>
        <v>415</v>
      </c>
      <c r="BV233" s="133">
        <f t="shared" si="2655"/>
        <v>415</v>
      </c>
      <c r="BW233" s="133">
        <f t="shared" si="2655"/>
        <v>415</v>
      </c>
      <c r="BX233" s="133">
        <f t="shared" ref="BX233:CO233" si="2716">BW233-$BQ233</f>
        <v>415</v>
      </c>
      <c r="BY233" s="133">
        <f t="shared" si="2716"/>
        <v>415</v>
      </c>
      <c r="BZ233" s="133">
        <f t="shared" si="2716"/>
        <v>415</v>
      </c>
      <c r="CA233" s="133">
        <f t="shared" si="2716"/>
        <v>415</v>
      </c>
      <c r="CB233" s="133">
        <f t="shared" si="2716"/>
        <v>415</v>
      </c>
      <c r="CC233" s="133">
        <f t="shared" si="2716"/>
        <v>415</v>
      </c>
      <c r="CD233" s="133">
        <f t="shared" si="2716"/>
        <v>415</v>
      </c>
      <c r="CE233" s="133">
        <f t="shared" si="2716"/>
        <v>415</v>
      </c>
      <c r="CF233" s="133">
        <f t="shared" si="2716"/>
        <v>415</v>
      </c>
      <c r="CG233" s="133">
        <f t="shared" si="2716"/>
        <v>415</v>
      </c>
      <c r="CH233" s="133">
        <f t="shared" si="2716"/>
        <v>415</v>
      </c>
      <c r="CI233" s="133">
        <f t="shared" si="2716"/>
        <v>415</v>
      </c>
      <c r="CJ233" s="133">
        <f t="shared" si="2716"/>
        <v>415</v>
      </c>
      <c r="CK233" s="133">
        <f t="shared" si="2716"/>
        <v>415</v>
      </c>
      <c r="CL233" s="133">
        <f t="shared" si="2716"/>
        <v>415</v>
      </c>
      <c r="CM233" s="133">
        <f t="shared" si="2716"/>
        <v>415</v>
      </c>
      <c r="CN233" s="133">
        <f t="shared" si="2716"/>
        <v>415</v>
      </c>
      <c r="CO233" s="133">
        <f t="shared" si="2716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84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85"/>
        <v>0</v>
      </c>
      <c r="DB233" s="4">
        <f t="shared" si="2686"/>
        <v>0</v>
      </c>
      <c r="DC233" s="4">
        <f t="shared" si="2687"/>
        <v>0</v>
      </c>
      <c r="DD233" s="136">
        <f t="shared" si="2688"/>
        <v>0</v>
      </c>
      <c r="DE233" s="31">
        <v>0</v>
      </c>
      <c r="DF233" s="31">
        <v>30</v>
      </c>
      <c r="DG233" s="31">
        <v>250</v>
      </c>
      <c r="DH233" s="48">
        <f t="shared" si="2689"/>
        <v>1.5</v>
      </c>
      <c r="DI233" s="62">
        <v>715</v>
      </c>
      <c r="DJ233" s="62">
        <v>180200.7</v>
      </c>
      <c r="DK233" s="48">
        <f t="shared" si="2690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91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92"/>
        <v>1.5</v>
      </c>
      <c r="DV233" s="62">
        <v>643.99999999999989</v>
      </c>
      <c r="DW233" s="62">
        <v>160771.18750000003</v>
      </c>
      <c r="DX233" s="62">
        <f t="shared" si="2693"/>
        <v>0</v>
      </c>
      <c r="DY233" s="62">
        <f t="shared" si="2694"/>
        <v>0</v>
      </c>
      <c r="DZ233" s="48">
        <f t="shared" si="2695"/>
        <v>0</v>
      </c>
      <c r="EA233" s="62">
        <f t="shared" si="2696"/>
        <v>0</v>
      </c>
      <c r="EB233" s="62">
        <f t="shared" si="2697"/>
        <v>0</v>
      </c>
      <c r="EC233" s="48">
        <f t="shared" si="2698"/>
        <v>0</v>
      </c>
      <c r="ED233" s="62">
        <f t="shared" si="2699"/>
        <v>0</v>
      </c>
      <c r="EE233" s="62">
        <f t="shared" si="2700"/>
        <v>0</v>
      </c>
      <c r="EF233" s="48">
        <f t="shared" si="2701"/>
        <v>0</v>
      </c>
      <c r="EG233" s="62">
        <f t="shared" si="2702"/>
        <v>0</v>
      </c>
      <c r="EH233" s="62">
        <f t="shared" si="2703"/>
        <v>0</v>
      </c>
      <c r="EI233" s="48">
        <f t="shared" si="2704"/>
        <v>0</v>
      </c>
      <c r="EJ233" s="62">
        <f t="shared" si="2705"/>
        <v>0</v>
      </c>
      <c r="EK233" s="62">
        <f t="shared" si="2706"/>
        <v>0</v>
      </c>
      <c r="EL233" s="48">
        <f t="shared" si="2707"/>
        <v>0</v>
      </c>
      <c r="EM233" s="62">
        <f t="shared" si="2708"/>
        <v>0</v>
      </c>
      <c r="EN233" s="62">
        <f t="shared" si="2709"/>
        <v>0</v>
      </c>
      <c r="EO233" s="48">
        <f t="shared" si="2710"/>
        <v>0</v>
      </c>
      <c r="EP233" s="62">
        <f t="shared" si="2657"/>
        <v>0</v>
      </c>
      <c r="EQ233" s="62">
        <f t="shared" si="2657"/>
        <v>0</v>
      </c>
      <c r="ER233" s="62">
        <f t="shared" si="2657"/>
        <v>0</v>
      </c>
      <c r="ES233" s="62">
        <f t="shared" si="2658"/>
        <v>0</v>
      </c>
      <c r="ET233" s="62">
        <f t="shared" si="2658"/>
        <v>0</v>
      </c>
      <c r="EU233" s="62">
        <f t="shared" si="2658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711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 t="shared" si="2339"/>
        <v>1</v>
      </c>
      <c r="FS233" s="103" t="b">
        <f t="shared" si="2340"/>
        <v>1</v>
      </c>
      <c r="FT233" s="103" t="b">
        <f t="shared" si="2341"/>
        <v>0</v>
      </c>
      <c r="FU233" s="103" t="b">
        <f t="shared" si="2342"/>
        <v>0</v>
      </c>
      <c r="FV233" s="103" t="b">
        <f t="shared" si="2343"/>
        <v>1</v>
      </c>
      <c r="FW233" s="104" t="b">
        <f t="shared" si="2392"/>
        <v>0</v>
      </c>
      <c r="FX233" s="120" t="b">
        <f t="shared" si="2712"/>
        <v>1</v>
      </c>
      <c r="FY233" s="104" t="s">
        <v>368</v>
      </c>
      <c r="FZ233" s="104" t="b">
        <f t="shared" si="2713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714"/>
        <v>1</v>
      </c>
      <c r="GI233" s="8" t="b">
        <f t="shared" si="2715"/>
        <v>0</v>
      </c>
      <c r="GJ233" s="31" t="s">
        <v>203</v>
      </c>
    </row>
    <row r="234" spans="1:192" ht="30" hidden="1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60"/>
        <v>нет минмакс</v>
      </c>
      <c r="Q234" s="95">
        <v>1063.7789916992188</v>
      </c>
      <c r="R234" s="95">
        <f t="shared" si="2661"/>
        <v>160949.7614440918</v>
      </c>
      <c r="S234" s="114">
        <v>858.98797607421875</v>
      </c>
      <c r="T234" s="114">
        <v>140289.91625244141</v>
      </c>
      <c r="U234" s="131">
        <f t="shared" si="2662"/>
        <v>0</v>
      </c>
      <c r="V234" s="115">
        <f t="shared" si="2663"/>
        <v>833.52001953125</v>
      </c>
      <c r="W234" s="115">
        <f t="shared" si="2664"/>
        <v>126111.57895507813</v>
      </c>
      <c r="X234" s="115">
        <f t="shared" si="2665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66"/>
        <v>0</v>
      </c>
      <c r="AF234" s="95">
        <f t="shared" si="2667"/>
        <v>0</v>
      </c>
      <c r="AG234" s="114">
        <v>0</v>
      </c>
      <c r="AH234" s="95">
        <f t="shared" si="2668"/>
        <v>833.52001953125</v>
      </c>
      <c r="AI234" s="114">
        <f t="shared" si="2669"/>
        <v>126111.57895507813</v>
      </c>
      <c r="AJ234" s="114">
        <f t="shared" si="2670"/>
        <v>1636</v>
      </c>
      <c r="AK234" s="114">
        <f t="shared" si="2671"/>
        <v>10232</v>
      </c>
      <c r="AL234" s="114">
        <f t="shared" si="2672"/>
        <v>11457</v>
      </c>
      <c r="AM234" s="114">
        <f t="shared" si="2673"/>
        <v>0</v>
      </c>
      <c r="AN234" s="133" t="str">
        <f t="shared" si="2674"/>
        <v>нет оборота</v>
      </c>
      <c r="AO234" s="133" t="str">
        <f t="shared" si="2675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76"/>
        <v>Нет планов</v>
      </c>
      <c r="AW234" s="126">
        <f t="shared" si="2677"/>
        <v>126111.57895507813</v>
      </c>
      <c r="AX234" s="138"/>
      <c r="AY234" s="115">
        <f t="shared" si="2678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79"/>
        <v>0</v>
      </c>
      <c r="BG234" s="32">
        <v>0</v>
      </c>
      <c r="BH234" s="32">
        <f t="shared" si="2680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81"/>
        <v>0</v>
      </c>
      <c r="BR234" s="95">
        <f t="shared" si="2682"/>
        <v>833.52001953125</v>
      </c>
      <c r="BS234" s="133">
        <f t="shared" ref="BS234:BW238" si="2717">BR234-BL234</f>
        <v>833.52001953125</v>
      </c>
      <c r="BT234" s="133">
        <f t="shared" si="2717"/>
        <v>833.52001953125</v>
      </c>
      <c r="BU234" s="133">
        <f t="shared" si="2717"/>
        <v>833.52001953125</v>
      </c>
      <c r="BV234" s="133">
        <f t="shared" si="2717"/>
        <v>833.52001953125</v>
      </c>
      <c r="BW234" s="133">
        <f t="shared" si="2717"/>
        <v>833.52001953125</v>
      </c>
      <c r="BX234" s="133">
        <f t="shared" ref="BX234:CO235" si="2718">BW234-$BQ234</f>
        <v>833.52001953125</v>
      </c>
      <c r="BY234" s="133">
        <f t="shared" si="2718"/>
        <v>833.52001953125</v>
      </c>
      <c r="BZ234" s="133">
        <f t="shared" si="2718"/>
        <v>833.52001953125</v>
      </c>
      <c r="CA234" s="133">
        <f t="shared" si="2718"/>
        <v>833.52001953125</v>
      </c>
      <c r="CB234" s="133">
        <f t="shared" si="2718"/>
        <v>833.52001953125</v>
      </c>
      <c r="CC234" s="133">
        <f t="shared" si="2718"/>
        <v>833.52001953125</v>
      </c>
      <c r="CD234" s="133">
        <f t="shared" si="2718"/>
        <v>833.52001953125</v>
      </c>
      <c r="CE234" s="133">
        <f t="shared" si="2718"/>
        <v>833.52001953125</v>
      </c>
      <c r="CF234" s="133">
        <f t="shared" si="2718"/>
        <v>833.52001953125</v>
      </c>
      <c r="CG234" s="133">
        <f t="shared" si="2718"/>
        <v>833.52001953125</v>
      </c>
      <c r="CH234" s="133">
        <f t="shared" si="2718"/>
        <v>833.52001953125</v>
      </c>
      <c r="CI234" s="133">
        <f t="shared" si="2718"/>
        <v>833.52001953125</v>
      </c>
      <c r="CJ234" s="133">
        <f t="shared" si="2718"/>
        <v>833.52001953125</v>
      </c>
      <c r="CK234" s="133">
        <f t="shared" si="2718"/>
        <v>833.52001953125</v>
      </c>
      <c r="CL234" s="133">
        <f t="shared" si="2718"/>
        <v>833.52001953125</v>
      </c>
      <c r="CM234" s="133">
        <f t="shared" si="2718"/>
        <v>833.52001953125</v>
      </c>
      <c r="CN234" s="133">
        <f t="shared" si="2718"/>
        <v>833.52001953125</v>
      </c>
      <c r="CO234" s="133">
        <f t="shared" si="2718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84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85"/>
        <v>0</v>
      </c>
      <c r="DB234" s="4">
        <f t="shared" si="2686"/>
        <v>0</v>
      </c>
      <c r="DC234" s="4">
        <f t="shared" si="2687"/>
        <v>0</v>
      </c>
      <c r="DD234" s="136">
        <f t="shared" si="2688"/>
        <v>0</v>
      </c>
      <c r="DE234" s="31">
        <v>0</v>
      </c>
      <c r="DG234" s="31">
        <v>0</v>
      </c>
      <c r="DH234" s="48">
        <f t="shared" si="2689"/>
        <v>0</v>
      </c>
      <c r="DI234" s="62">
        <v>796.822</v>
      </c>
      <c r="DJ234" s="62">
        <v>127465.645</v>
      </c>
      <c r="DK234" s="48">
        <f t="shared" si="2690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91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92"/>
        <v>0</v>
      </c>
      <c r="DV234" s="62">
        <v>4035.4279999999999</v>
      </c>
      <c r="DW234" s="62">
        <v>654009.60973937775</v>
      </c>
      <c r="DX234" s="62">
        <f t="shared" si="2693"/>
        <v>0</v>
      </c>
      <c r="DY234" s="62">
        <f t="shared" si="2694"/>
        <v>0</v>
      </c>
      <c r="DZ234" s="48">
        <f t="shared" si="2695"/>
        <v>0</v>
      </c>
      <c r="EA234" s="62">
        <f t="shared" si="2696"/>
        <v>0</v>
      </c>
      <c r="EB234" s="62">
        <f t="shared" si="2697"/>
        <v>0</v>
      </c>
      <c r="EC234" s="48">
        <f t="shared" si="2698"/>
        <v>0</v>
      </c>
      <c r="ED234" s="62">
        <f t="shared" si="2699"/>
        <v>0</v>
      </c>
      <c r="EE234" s="62">
        <f t="shared" si="2700"/>
        <v>0</v>
      </c>
      <c r="EF234" s="48">
        <f t="shared" si="2701"/>
        <v>0</v>
      </c>
      <c r="EG234" s="62">
        <f t="shared" si="2702"/>
        <v>0</v>
      </c>
      <c r="EH234" s="62">
        <f t="shared" si="2703"/>
        <v>0</v>
      </c>
      <c r="EI234" s="48">
        <f t="shared" si="2704"/>
        <v>0</v>
      </c>
      <c r="EJ234" s="62">
        <f t="shared" si="2705"/>
        <v>0</v>
      </c>
      <c r="EK234" s="62">
        <f t="shared" si="2706"/>
        <v>0</v>
      </c>
      <c r="EL234" s="48">
        <f t="shared" si="2707"/>
        <v>0</v>
      </c>
      <c r="EM234" s="62">
        <f t="shared" si="2708"/>
        <v>0</v>
      </c>
      <c r="EN234" s="62">
        <f t="shared" si="2709"/>
        <v>0</v>
      </c>
      <c r="EO234" s="48">
        <f t="shared" si="2710"/>
        <v>0</v>
      </c>
      <c r="EP234" s="62">
        <f t="shared" si="2657"/>
        <v>0</v>
      </c>
      <c r="EQ234" s="62">
        <f t="shared" si="2657"/>
        <v>0</v>
      </c>
      <c r="ER234" s="62">
        <f t="shared" si="2657"/>
        <v>0</v>
      </c>
      <c r="ES234" s="62">
        <f t="shared" si="2658"/>
        <v>0</v>
      </c>
      <c r="ET234" s="62">
        <f t="shared" si="2658"/>
        <v>0</v>
      </c>
      <c r="EU234" s="62">
        <f t="shared" si="2658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711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 t="shared" si="2339"/>
        <v>1</v>
      </c>
      <c r="FS234" s="120" t="b">
        <f t="shared" si="2340"/>
        <v>1</v>
      </c>
      <c r="FT234" s="120" t="b">
        <f t="shared" si="2341"/>
        <v>1</v>
      </c>
      <c r="FU234" s="120" t="b">
        <f t="shared" si="2342"/>
        <v>1</v>
      </c>
      <c r="FV234" s="120" t="b">
        <f t="shared" si="2343"/>
        <v>1</v>
      </c>
      <c r="FW234" s="104" t="b">
        <f t="shared" si="2392"/>
        <v>0</v>
      </c>
      <c r="FX234" s="120" t="b">
        <f t="shared" si="2712"/>
        <v>1</v>
      </c>
      <c r="FY234" s="104" t="s">
        <v>368</v>
      </c>
      <c r="FZ234" s="104" t="b">
        <f t="shared" si="2713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714"/>
        <v>1</v>
      </c>
      <c r="GI234" s="8" t="b">
        <f t="shared" si="2715"/>
        <v>0</v>
      </c>
      <c r="GJ234" s="31" t="s">
        <v>203</v>
      </c>
    </row>
    <row r="235" spans="1:192" hidden="1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60"/>
        <v>нет минмакс</v>
      </c>
      <c r="Q235" s="95">
        <v>0</v>
      </c>
      <c r="R235" s="95">
        <f t="shared" si="2661"/>
        <v>0</v>
      </c>
      <c r="S235" s="131">
        <v>260</v>
      </c>
      <c r="T235" s="131">
        <v>137930</v>
      </c>
      <c r="U235" s="131">
        <f t="shared" si="2662"/>
        <v>1</v>
      </c>
      <c r="V235" s="113">
        <f t="shared" si="2663"/>
        <v>0</v>
      </c>
      <c r="W235" s="113">
        <f t="shared" si="2664"/>
        <v>0</v>
      </c>
      <c r="X235" s="113">
        <f t="shared" si="2665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66"/>
        <v>0</v>
      </c>
      <c r="AF235" s="95">
        <f t="shared" si="2667"/>
        <v>0</v>
      </c>
      <c r="AG235" s="114">
        <v>0</v>
      </c>
      <c r="AH235" s="95">
        <f t="shared" si="2668"/>
        <v>0</v>
      </c>
      <c r="AI235" s="114">
        <f t="shared" si="2669"/>
        <v>0</v>
      </c>
      <c r="AJ235" s="133">
        <f t="shared" si="2670"/>
        <v>0</v>
      </c>
      <c r="AK235" s="133">
        <f t="shared" si="2671"/>
        <v>260</v>
      </c>
      <c r="AL235" s="133">
        <f t="shared" si="2672"/>
        <v>260</v>
      </c>
      <c r="AM235" s="133">
        <f t="shared" si="2673"/>
        <v>0</v>
      </c>
      <c r="AN235" s="133" t="str">
        <f t="shared" si="2674"/>
        <v>нет оборота</v>
      </c>
      <c r="AO235" s="133" t="str">
        <f t="shared" si="2675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76"/>
        <v>нет остатка</v>
      </c>
      <c r="AW235" s="117">
        <f t="shared" si="2677"/>
        <v>0</v>
      </c>
      <c r="AX235" s="14"/>
      <c r="AY235" s="25">
        <f t="shared" si="2678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79"/>
        <v>0</v>
      </c>
      <c r="BG235" s="32">
        <v>0</v>
      </c>
      <c r="BH235" s="32">
        <f t="shared" si="2680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81"/>
        <v>0</v>
      </c>
      <c r="BR235" s="95">
        <f t="shared" si="2682"/>
        <v>0</v>
      </c>
      <c r="BS235" s="133">
        <f t="shared" si="2717"/>
        <v>0</v>
      </c>
      <c r="BT235" s="133">
        <f t="shared" si="2717"/>
        <v>0</v>
      </c>
      <c r="BU235" s="133">
        <f t="shared" si="2717"/>
        <v>0</v>
      </c>
      <c r="BV235" s="133">
        <f t="shared" si="2717"/>
        <v>0</v>
      </c>
      <c r="BW235" s="133">
        <f t="shared" si="2717"/>
        <v>0</v>
      </c>
      <c r="BX235" s="133">
        <f t="shared" si="2718"/>
        <v>0</v>
      </c>
      <c r="BY235" s="133">
        <f t="shared" si="2718"/>
        <v>0</v>
      </c>
      <c r="BZ235" s="133">
        <f t="shared" si="2718"/>
        <v>0</v>
      </c>
      <c r="CA235" s="133">
        <f t="shared" si="2718"/>
        <v>0</v>
      </c>
      <c r="CB235" s="133">
        <f t="shared" si="2718"/>
        <v>0</v>
      </c>
      <c r="CC235" s="133">
        <f t="shared" si="2718"/>
        <v>0</v>
      </c>
      <c r="CD235" s="133">
        <f t="shared" si="2718"/>
        <v>0</v>
      </c>
      <c r="CE235" s="133">
        <f t="shared" si="2718"/>
        <v>0</v>
      </c>
      <c r="CF235" s="133">
        <f t="shared" si="2718"/>
        <v>0</v>
      </c>
      <c r="CG235" s="133">
        <f t="shared" si="2718"/>
        <v>0</v>
      </c>
      <c r="CH235" s="133">
        <f t="shared" si="2718"/>
        <v>0</v>
      </c>
      <c r="CI235" s="133">
        <f t="shared" si="2718"/>
        <v>0</v>
      </c>
      <c r="CJ235" s="133">
        <f t="shared" si="2718"/>
        <v>0</v>
      </c>
      <c r="CK235" s="133">
        <f t="shared" si="2718"/>
        <v>0</v>
      </c>
      <c r="CL235" s="133">
        <f t="shared" si="2718"/>
        <v>0</v>
      </c>
      <c r="CM235" s="133">
        <f t="shared" si="2718"/>
        <v>0</v>
      </c>
      <c r="CN235" s="133">
        <f t="shared" si="2718"/>
        <v>0</v>
      </c>
      <c r="CO235" s="133">
        <f t="shared" si="2718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84"/>
        <v>260</v>
      </c>
      <c r="DE235" s="31">
        <v>0</v>
      </c>
      <c r="DF235" s="31">
        <v>30</v>
      </c>
      <c r="DG235" s="31">
        <v>0</v>
      </c>
      <c r="DH235" s="48">
        <f t="shared" si="2689"/>
        <v>0</v>
      </c>
      <c r="DI235" s="62">
        <v>0</v>
      </c>
      <c r="DJ235" s="62">
        <v>0</v>
      </c>
      <c r="DK235" s="48">
        <f t="shared" si="2690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91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92"/>
        <v>1</v>
      </c>
      <c r="DV235" s="62">
        <v>0</v>
      </c>
      <c r="DW235" s="62">
        <v>0</v>
      </c>
      <c r="DX235" s="62">
        <f t="shared" si="2693"/>
        <v>0</v>
      </c>
      <c r="DY235" s="62">
        <f t="shared" si="2694"/>
        <v>0</v>
      </c>
      <c r="DZ235" s="48">
        <f t="shared" si="2695"/>
        <v>0</v>
      </c>
      <c r="EA235" s="62">
        <f t="shared" si="2696"/>
        <v>0</v>
      </c>
      <c r="EB235" s="62">
        <f t="shared" si="2697"/>
        <v>0</v>
      </c>
      <c r="EC235" s="48">
        <f t="shared" si="2698"/>
        <v>0</v>
      </c>
      <c r="ED235" s="62">
        <f t="shared" si="2699"/>
        <v>0</v>
      </c>
      <c r="EE235" s="62">
        <f t="shared" si="2700"/>
        <v>0</v>
      </c>
      <c r="EF235" s="48">
        <f t="shared" si="2701"/>
        <v>0</v>
      </c>
      <c r="EG235" s="62">
        <f t="shared" si="2702"/>
        <v>0</v>
      </c>
      <c r="EH235" s="62">
        <f t="shared" si="2703"/>
        <v>0</v>
      </c>
      <c r="EI235" s="48">
        <f t="shared" si="2704"/>
        <v>0</v>
      </c>
      <c r="EJ235" s="62">
        <f t="shared" si="2705"/>
        <v>0</v>
      </c>
      <c r="EK235" s="62">
        <f t="shared" si="2706"/>
        <v>0</v>
      </c>
      <c r="EL235" s="48">
        <f t="shared" si="2707"/>
        <v>0</v>
      </c>
      <c r="EM235" s="62">
        <f t="shared" si="2708"/>
        <v>0</v>
      </c>
      <c r="EN235" s="62">
        <f t="shared" si="2709"/>
        <v>0</v>
      </c>
      <c r="EO235" s="48">
        <f t="shared" si="2710"/>
        <v>0</v>
      </c>
      <c r="EP235" s="62">
        <f t="shared" si="2657"/>
        <v>0</v>
      </c>
      <c r="EQ235" s="62">
        <f t="shared" si="2657"/>
        <v>0</v>
      </c>
      <c r="ER235" s="62">
        <f t="shared" si="2657"/>
        <v>0</v>
      </c>
      <c r="ES235" s="62">
        <f t="shared" si="2658"/>
        <v>0</v>
      </c>
      <c r="ET235" s="62">
        <f t="shared" si="2658"/>
        <v>0</v>
      </c>
      <c r="EU235" s="62">
        <f t="shared" si="2658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711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 t="shared" si="2339"/>
        <v>1</v>
      </c>
      <c r="FS235" s="103" t="b">
        <f t="shared" si="2340"/>
        <v>1</v>
      </c>
      <c r="FT235" s="103" t="b">
        <f t="shared" si="2341"/>
        <v>1</v>
      </c>
      <c r="FU235" s="103" t="b">
        <f t="shared" si="2342"/>
        <v>1</v>
      </c>
      <c r="FV235" s="103" t="b">
        <f t="shared" si="2343"/>
        <v>1</v>
      </c>
      <c r="FW235" s="104" t="b">
        <f t="shared" si="2392"/>
        <v>0</v>
      </c>
      <c r="FX235" s="120" t="b">
        <f t="shared" si="2712"/>
        <v>1</v>
      </c>
      <c r="FY235" s="104" t="s">
        <v>368</v>
      </c>
      <c r="FZ235" s="104" t="b">
        <f t="shared" si="2713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714"/>
        <v>1</v>
      </c>
      <c r="GI235" s="8" t="b">
        <f t="shared" si="2715"/>
        <v>0</v>
      </c>
      <c r="GJ235" s="31" t="s">
        <v>203</v>
      </c>
    </row>
    <row r="236" spans="1:192" hidden="1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60"/>
        <v>нет минмакс</v>
      </c>
      <c r="Q236" s="95">
        <v>23222</v>
      </c>
      <c r="R236" s="95">
        <f t="shared" si="2661"/>
        <v>66414.92</v>
      </c>
      <c r="S236" s="114">
        <v>45373</v>
      </c>
      <c r="T236" s="114">
        <v>127951.85999999999</v>
      </c>
      <c r="U236" s="131">
        <f t="shared" si="2662"/>
        <v>7</v>
      </c>
      <c r="V236" s="115">
        <f t="shared" si="2663"/>
        <v>93160</v>
      </c>
      <c r="W236" s="115">
        <f t="shared" si="2664"/>
        <v>266437.59999999998</v>
      </c>
      <c r="X236" s="115">
        <f t="shared" si="2665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66"/>
        <v>0</v>
      </c>
      <c r="AF236" s="95">
        <f t="shared" si="2667"/>
        <v>0</v>
      </c>
      <c r="AG236" s="114">
        <v>0</v>
      </c>
      <c r="AH236" s="95">
        <f t="shared" si="2668"/>
        <v>93160</v>
      </c>
      <c r="AI236" s="114">
        <f t="shared" si="2669"/>
        <v>266437.59999999998</v>
      </c>
      <c r="AJ236" s="114">
        <f t="shared" si="2670"/>
        <v>56096</v>
      </c>
      <c r="AK236" s="114">
        <f t="shared" si="2671"/>
        <v>248437</v>
      </c>
      <c r="AL236" s="114">
        <f t="shared" si="2672"/>
        <v>433035</v>
      </c>
      <c r="AM236" s="114">
        <f t="shared" si="2673"/>
        <v>375107</v>
      </c>
      <c r="AN236" s="133">
        <f t="shared" si="2674"/>
        <v>21.772827486557169</v>
      </c>
      <c r="AO236" s="133" t="str">
        <f t="shared" si="2675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76"/>
        <v>0-02</v>
      </c>
      <c r="AW236" s="126">
        <f t="shared" si="2677"/>
        <v>0</v>
      </c>
      <c r="AX236" s="138"/>
      <c r="AY236" s="115">
        <f t="shared" si="2678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79"/>
        <v>0</v>
      </c>
      <c r="BG236" s="32">
        <v>0</v>
      </c>
      <c r="BH236" s="32">
        <f t="shared" si="2680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81"/>
        <v>62517.833333333336</v>
      </c>
      <c r="BR236" s="95">
        <f t="shared" si="2682"/>
        <v>47500</v>
      </c>
      <c r="BS236" s="133">
        <f t="shared" si="2717"/>
        <v>-13513</v>
      </c>
      <c r="BT236" s="133">
        <f t="shared" si="2717"/>
        <v>-80581</v>
      </c>
      <c r="BU236" s="133">
        <f t="shared" si="2717"/>
        <v>-148200</v>
      </c>
      <c r="BV236" s="133">
        <f t="shared" si="2717"/>
        <v>-215142</v>
      </c>
      <c r="BW236" s="133">
        <f t="shared" si="2717"/>
        <v>-281947</v>
      </c>
      <c r="BX236" s="133">
        <f t="shared" ref="BX236:CO237" si="2719">BW236-$BQ236</f>
        <v>-344464.83333333331</v>
      </c>
      <c r="BY236" s="133">
        <f t="shared" si="2719"/>
        <v>-406982.66666666663</v>
      </c>
      <c r="BZ236" s="133">
        <f t="shared" si="2719"/>
        <v>-469500.49999999994</v>
      </c>
      <c r="CA236" s="133">
        <f t="shared" si="2719"/>
        <v>-532018.33333333326</v>
      </c>
      <c r="CB236" s="133">
        <f t="shared" si="2719"/>
        <v>-594536.16666666663</v>
      </c>
      <c r="CC236" s="133">
        <f t="shared" si="2719"/>
        <v>-657054</v>
      </c>
      <c r="CD236" s="133">
        <f t="shared" si="2719"/>
        <v>-719571.83333333337</v>
      </c>
      <c r="CE236" s="133">
        <f t="shared" si="2719"/>
        <v>-782089.66666666674</v>
      </c>
      <c r="CF236" s="133">
        <f t="shared" si="2719"/>
        <v>-844607.50000000012</v>
      </c>
      <c r="CG236" s="133">
        <f t="shared" si="2719"/>
        <v>-907125.33333333349</v>
      </c>
      <c r="CH236" s="133">
        <f t="shared" si="2719"/>
        <v>-969643.16666666686</v>
      </c>
      <c r="CI236" s="133">
        <f t="shared" si="2719"/>
        <v>-1032161.0000000002</v>
      </c>
      <c r="CJ236" s="133">
        <f t="shared" si="2719"/>
        <v>-1094678.8333333335</v>
      </c>
      <c r="CK236" s="133">
        <f t="shared" si="2719"/>
        <v>-1157196.6666666667</v>
      </c>
      <c r="CL236" s="133">
        <f t="shared" si="2719"/>
        <v>-1219714.5</v>
      </c>
      <c r="CM236" s="133">
        <f t="shared" si="2719"/>
        <v>-1282232.3333333333</v>
      </c>
      <c r="CN236" s="133">
        <f t="shared" si="2719"/>
        <v>-1344750.1666666665</v>
      </c>
      <c r="CO236" s="133">
        <f t="shared" si="2719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84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720">IFERROR(CZ236/CY236,0)</f>
        <v>0</v>
      </c>
      <c r="DB236" s="4">
        <f t="shared" ref="DB236" si="2721">CY236*FH236</f>
        <v>0</v>
      </c>
      <c r="DC236" s="4">
        <f t="shared" ref="DC236" si="2722">CZ236*FH236</f>
        <v>0</v>
      </c>
      <c r="DD236" s="136">
        <f t="shared" ref="DD236" si="2723">IFERROR(DC236/DB236,0)</f>
        <v>0</v>
      </c>
      <c r="DE236" s="31">
        <v>0</v>
      </c>
      <c r="DG236" s="31">
        <v>0</v>
      </c>
      <c r="DH236" s="48">
        <f t="shared" si="2689"/>
        <v>0</v>
      </c>
      <c r="DI236" s="62">
        <v>133336.19399999999</v>
      </c>
      <c r="DJ236" s="62">
        <v>360143.40899999999</v>
      </c>
      <c r="DK236" s="48">
        <f t="shared" si="2690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91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92"/>
        <v>13</v>
      </c>
      <c r="DV236" s="62">
        <v>73367</v>
      </c>
      <c r="DW236" s="62">
        <v>205351.62075546416</v>
      </c>
      <c r="DX236" s="62">
        <f t="shared" si="2693"/>
        <v>0</v>
      </c>
      <c r="DY236" s="62">
        <f t="shared" si="2694"/>
        <v>0</v>
      </c>
      <c r="DZ236" s="48">
        <f t="shared" si="2695"/>
        <v>0</v>
      </c>
      <c r="EA236" s="62">
        <f t="shared" si="2696"/>
        <v>0</v>
      </c>
      <c r="EB236" s="62">
        <f t="shared" si="2697"/>
        <v>0</v>
      </c>
      <c r="EC236" s="48">
        <f t="shared" si="2698"/>
        <v>0</v>
      </c>
      <c r="ED236" s="62">
        <f t="shared" si="2699"/>
        <v>0</v>
      </c>
      <c r="EE236" s="62">
        <f t="shared" si="2700"/>
        <v>0</v>
      </c>
      <c r="EF236" s="48">
        <f t="shared" si="2701"/>
        <v>0</v>
      </c>
      <c r="EG236" s="62">
        <f t="shared" si="2702"/>
        <v>0</v>
      </c>
      <c r="EH236" s="62">
        <f t="shared" si="2703"/>
        <v>0</v>
      </c>
      <c r="EI236" s="48">
        <f t="shared" si="2704"/>
        <v>0</v>
      </c>
      <c r="EJ236" s="62">
        <f t="shared" si="2705"/>
        <v>0</v>
      </c>
      <c r="EK236" s="62">
        <f t="shared" si="2706"/>
        <v>0</v>
      </c>
      <c r="EL236" s="48">
        <f t="shared" si="2707"/>
        <v>0</v>
      </c>
      <c r="EM236" s="62">
        <f t="shared" si="2708"/>
        <v>0</v>
      </c>
      <c r="EN236" s="62">
        <f t="shared" si="2709"/>
        <v>0</v>
      </c>
      <c r="EO236" s="48">
        <f t="shared" si="2710"/>
        <v>0</v>
      </c>
      <c r="EP236" s="62">
        <f t="shared" ref="EP236:EU238" si="2724">BK236*$FH236</f>
        <v>130587.59999999999</v>
      </c>
      <c r="EQ236" s="62">
        <f t="shared" si="2724"/>
        <v>174497.18</v>
      </c>
      <c r="ER236" s="62">
        <f t="shared" si="2724"/>
        <v>191814.47999999998</v>
      </c>
      <c r="ES236" s="62">
        <f t="shared" si="2724"/>
        <v>193390.34</v>
      </c>
      <c r="ET236" s="62">
        <f t="shared" si="2724"/>
        <v>191454.12</v>
      </c>
      <c r="EU236" s="62">
        <f t="shared" si="2724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711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 t="shared" si="2339"/>
        <v>1</v>
      </c>
      <c r="FS236" s="120" t="b">
        <f t="shared" si="2340"/>
        <v>1</v>
      </c>
      <c r="FT236" s="120" t="b">
        <f t="shared" si="2341"/>
        <v>1</v>
      </c>
      <c r="FU236" s="120" t="b">
        <f t="shared" si="2342"/>
        <v>1</v>
      </c>
      <c r="FV236" s="120" t="b">
        <f t="shared" si="2343"/>
        <v>1</v>
      </c>
      <c r="FW236" s="104" t="b">
        <f t="shared" si="2392"/>
        <v>0</v>
      </c>
      <c r="FX236" s="120" t="b">
        <f t="shared" si="2712"/>
        <v>1</v>
      </c>
      <c r="FY236" s="104" t="s">
        <v>368</v>
      </c>
      <c r="FZ236" s="104" t="b">
        <f t="shared" si="2713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714"/>
        <v>1</v>
      </c>
      <c r="GI236" s="8" t="b">
        <f t="shared" si="2715"/>
        <v>0</v>
      </c>
      <c r="GJ236" s="31" t="s">
        <v>203</v>
      </c>
    </row>
    <row r="237" spans="1:192" ht="30" hidden="1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25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61"/>
        <v>126310</v>
      </c>
      <c r="S237" s="131">
        <v>500</v>
      </c>
      <c r="T237" s="131">
        <v>126310</v>
      </c>
      <c r="U237" s="131">
        <f t="shared" ref="U237:U243" si="2726">IFERROR(ROUNDUP(S237/$EX237,0)*$EY237,0)</f>
        <v>1</v>
      </c>
      <c r="V237" s="113">
        <f t="shared" si="2663"/>
        <v>500</v>
      </c>
      <c r="W237" s="113">
        <f t="shared" ref="W237:W243" si="2727">V237*FH237</f>
        <v>126310</v>
      </c>
      <c r="X237" s="113">
        <f t="shared" ref="X237:X243" si="2728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29">AA237*FH237</f>
        <v>0</v>
      </c>
      <c r="AF237" s="95">
        <f t="shared" ref="AF237:AF243" si="2730">AB237*FH237</f>
        <v>0</v>
      </c>
      <c r="AG237" s="114">
        <v>0</v>
      </c>
      <c r="AH237" s="95">
        <f t="shared" si="2668"/>
        <v>500</v>
      </c>
      <c r="AI237" s="114">
        <f t="shared" ref="AI237:AI243" si="2731">IF(AH237&gt;0,AH237*FH237,0)</f>
        <v>126310</v>
      </c>
      <c r="AJ237" s="133">
        <f t="shared" si="2670"/>
        <v>0</v>
      </c>
      <c r="AK237" s="133">
        <f t="shared" si="2671"/>
        <v>0</v>
      </c>
      <c r="AL237" s="133">
        <f t="shared" si="2672"/>
        <v>0</v>
      </c>
      <c r="AM237" s="133">
        <f t="shared" si="2673"/>
        <v>0</v>
      </c>
      <c r="AN237" s="133" t="str">
        <f t="shared" ref="AN237:AN243" si="2732">IFERROR(S237/BQ237*30,"нет оборота")</f>
        <v>нет оборота</v>
      </c>
      <c r="AO237" s="133" t="str">
        <f t="shared" ref="AO237:AO243" si="2733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34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35">IF(AT237="Да",W237,0)</f>
        <v>126310</v>
      </c>
      <c r="AX237" s="14"/>
      <c r="AY237" s="25">
        <f t="shared" ref="AY237:AY243" si="2736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37">BE237*FH237</f>
        <v>0</v>
      </c>
      <c r="BG237" s="32">
        <v>0</v>
      </c>
      <c r="BH237" s="32">
        <f t="shared" ref="BH237:BH243" si="2738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39">IF(COUNTIF(BK237:BP237,"&gt;0")=0,0,SUM(BK237:BP237)/COUNTIF(BK237:BP237,"&gt;0"))</f>
        <v>0</v>
      </c>
      <c r="BR237" s="95">
        <f t="shared" ref="BR237:BR243" si="2740">IF(OR(Q237=0,SUM(BK237:BP237)=0,V237&gt;Q237),V237-BK237,Q237-BK237)</f>
        <v>500</v>
      </c>
      <c r="BS237" s="133">
        <f t="shared" si="2717"/>
        <v>500</v>
      </c>
      <c r="BT237" s="133">
        <f t="shared" si="2717"/>
        <v>500</v>
      </c>
      <c r="BU237" s="133">
        <f t="shared" si="2717"/>
        <v>500</v>
      </c>
      <c r="BV237" s="133">
        <f t="shared" si="2717"/>
        <v>500</v>
      </c>
      <c r="BW237" s="133">
        <f t="shared" si="2717"/>
        <v>500</v>
      </c>
      <c r="BX237" s="133">
        <f t="shared" si="2719"/>
        <v>500</v>
      </c>
      <c r="BY237" s="133">
        <f t="shared" si="2719"/>
        <v>500</v>
      </c>
      <c r="BZ237" s="133">
        <f t="shared" si="2719"/>
        <v>500</v>
      </c>
      <c r="CA237" s="133">
        <f t="shared" si="2719"/>
        <v>500</v>
      </c>
      <c r="CB237" s="133">
        <f t="shared" si="2719"/>
        <v>500</v>
      </c>
      <c r="CC237" s="133">
        <f t="shared" si="2719"/>
        <v>500</v>
      </c>
      <c r="CD237" s="133">
        <f t="shared" si="2719"/>
        <v>500</v>
      </c>
      <c r="CE237" s="133">
        <f t="shared" si="2719"/>
        <v>500</v>
      </c>
      <c r="CF237" s="133">
        <f t="shared" si="2719"/>
        <v>500</v>
      </c>
      <c r="CG237" s="133">
        <f t="shared" si="2719"/>
        <v>500</v>
      </c>
      <c r="CH237" s="133">
        <f t="shared" si="2719"/>
        <v>500</v>
      </c>
      <c r="CI237" s="133">
        <f t="shared" si="2719"/>
        <v>500</v>
      </c>
      <c r="CJ237" s="133">
        <f t="shared" si="2719"/>
        <v>500</v>
      </c>
      <c r="CK237" s="133">
        <f t="shared" si="2719"/>
        <v>500</v>
      </c>
      <c r="CL237" s="133">
        <f t="shared" si="2719"/>
        <v>500</v>
      </c>
      <c r="CM237" s="133">
        <f t="shared" si="2719"/>
        <v>500</v>
      </c>
      <c r="CN237" s="133">
        <f t="shared" si="2719"/>
        <v>500</v>
      </c>
      <c r="CO237" s="133">
        <f t="shared" si="2719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41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89"/>
        <v>1</v>
      </c>
      <c r="DI237" s="62">
        <v>0</v>
      </c>
      <c r="DJ237" s="62">
        <v>0</v>
      </c>
      <c r="DK237" s="48">
        <f t="shared" ref="DK237:DK243" si="2742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43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44">IFERROR(ROUNDUP(DS237/$EX237,0)*$EY237,0)</f>
        <v>1</v>
      </c>
      <c r="DV237" s="62">
        <v>0</v>
      </c>
      <c r="DW237" s="62">
        <v>0</v>
      </c>
      <c r="DX237" s="62">
        <f t="shared" si="2693"/>
        <v>0</v>
      </c>
      <c r="DY237" s="62">
        <f t="shared" ref="DY237:DY243" si="2745">DX237*$FH237</f>
        <v>0</v>
      </c>
      <c r="DZ237" s="48">
        <f t="shared" si="2695"/>
        <v>0</v>
      </c>
      <c r="EA237" s="62">
        <f t="shared" si="2696"/>
        <v>0</v>
      </c>
      <c r="EB237" s="62">
        <f t="shared" ref="EB237:EB243" si="2746">EA237*$FH237</f>
        <v>0</v>
      </c>
      <c r="EC237" s="48">
        <f t="shared" si="2698"/>
        <v>0</v>
      </c>
      <c r="ED237" s="62">
        <f t="shared" si="2699"/>
        <v>0</v>
      </c>
      <c r="EE237" s="62">
        <f t="shared" ref="EE237:EE243" si="2747">ED237*$FH237</f>
        <v>0</v>
      </c>
      <c r="EF237" s="48">
        <f t="shared" si="2701"/>
        <v>0</v>
      </c>
      <c r="EG237" s="62">
        <f t="shared" si="2702"/>
        <v>0</v>
      </c>
      <c r="EH237" s="62">
        <f t="shared" ref="EH237:EH243" si="2748">EG237*$FH237</f>
        <v>0</v>
      </c>
      <c r="EI237" s="48">
        <f t="shared" si="2704"/>
        <v>0</v>
      </c>
      <c r="EJ237" s="62">
        <f t="shared" si="2705"/>
        <v>0</v>
      </c>
      <c r="EK237" s="62">
        <f t="shared" ref="EK237:EK243" si="2749">EJ237*$FH237</f>
        <v>0</v>
      </c>
      <c r="EL237" s="48">
        <f t="shared" si="2707"/>
        <v>0</v>
      </c>
      <c r="EM237" s="62">
        <f t="shared" si="2708"/>
        <v>0</v>
      </c>
      <c r="EN237" s="62">
        <f t="shared" ref="EN237:EN243" si="2750">EM237*$FH237</f>
        <v>0</v>
      </c>
      <c r="EO237" s="48">
        <f t="shared" si="2710"/>
        <v>0</v>
      </c>
      <c r="EP237" s="62">
        <f t="shared" si="2724"/>
        <v>0</v>
      </c>
      <c r="EQ237" s="62">
        <f t="shared" si="2724"/>
        <v>0</v>
      </c>
      <c r="ER237" s="62">
        <f t="shared" si="2724"/>
        <v>0</v>
      </c>
      <c r="ES237" s="62">
        <f t="shared" si="2724"/>
        <v>0</v>
      </c>
      <c r="ET237" s="62">
        <f t="shared" si="2724"/>
        <v>0</v>
      </c>
      <c r="EU237" s="62">
        <f t="shared" si="2724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51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 t="shared" si="2339"/>
        <v>1</v>
      </c>
      <c r="FS237" s="103" t="b">
        <f t="shared" si="2340"/>
        <v>1</v>
      </c>
      <c r="FT237" s="103" t="b">
        <f t="shared" si="2341"/>
        <v>1</v>
      </c>
      <c r="FU237" s="103" t="b">
        <f t="shared" si="2342"/>
        <v>1</v>
      </c>
      <c r="FV237" s="103" t="b">
        <f t="shared" si="2343"/>
        <v>1</v>
      </c>
      <c r="FW237" s="104" t="b">
        <f t="shared" si="2392"/>
        <v>0</v>
      </c>
      <c r="FX237" s="120" t="b">
        <f t="shared" si="2712"/>
        <v>1</v>
      </c>
      <c r="FY237" s="104" t="s">
        <v>368</v>
      </c>
      <c r="FZ237" s="104" t="b">
        <f t="shared" si="2713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714"/>
        <v>1</v>
      </c>
      <c r="GI237" s="8" t="b">
        <f t="shared" si="2715"/>
        <v>0</v>
      </c>
      <c r="GJ237" s="31" t="s">
        <v>203</v>
      </c>
    </row>
    <row r="238" spans="1:192" hidden="1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25"/>
        <v>нет минмакс</v>
      </c>
      <c r="Q238" s="95">
        <v>15917</v>
      </c>
      <c r="R238" s="95">
        <f t="shared" ref="R238:R243" si="2752">Q238*FH238</f>
        <v>60325.43</v>
      </c>
      <c r="S238" s="114">
        <v>33003</v>
      </c>
      <c r="T238" s="114">
        <v>125411.4</v>
      </c>
      <c r="U238" s="131">
        <f t="shared" si="2726"/>
        <v>4</v>
      </c>
      <c r="V238" s="115">
        <f t="shared" ref="V238:V243" si="2753">SUM(Z238:AD238)</f>
        <v>10000</v>
      </c>
      <c r="W238" s="115">
        <f t="shared" si="2727"/>
        <v>37900</v>
      </c>
      <c r="X238" s="115">
        <f t="shared" si="2728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29"/>
        <v>0</v>
      </c>
      <c r="AF238" s="95">
        <f t="shared" si="2730"/>
        <v>0</v>
      </c>
      <c r="AG238" s="114">
        <v>0</v>
      </c>
      <c r="AH238" s="95">
        <f t="shared" ref="AH238:AH243" si="2754">V238-AG238</f>
        <v>10000</v>
      </c>
      <c r="AI238" s="114">
        <f t="shared" si="2731"/>
        <v>37900</v>
      </c>
      <c r="AJ238" s="114">
        <f t="shared" ref="AJ238:AJ243" si="2755">CU238</f>
        <v>9083</v>
      </c>
      <c r="AK238" s="114">
        <f t="shared" si="2671"/>
        <v>17086</v>
      </c>
      <c r="AL238" s="114">
        <f t="shared" ref="AL238:AL243" si="2756">SUM(CP238:CU238)</f>
        <v>70636</v>
      </c>
      <c r="AM238" s="114">
        <f t="shared" ref="AM238:AM243" si="2757">SUM(BK238:BP238)</f>
        <v>130321</v>
      </c>
      <c r="AN238" s="133">
        <f t="shared" si="2732"/>
        <v>45.583904359236044</v>
      </c>
      <c r="AO238" s="133" t="str">
        <f t="shared" si="2733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34"/>
        <v>0-02</v>
      </c>
      <c r="AW238" s="126">
        <f t="shared" si="2735"/>
        <v>0</v>
      </c>
      <c r="AX238" s="138"/>
      <c r="AY238" s="115">
        <f t="shared" si="2736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37"/>
        <v>0</v>
      </c>
      <c r="BG238" s="32">
        <v>0</v>
      </c>
      <c r="BH238" s="32">
        <f t="shared" si="2738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39"/>
        <v>21720.166666666668</v>
      </c>
      <c r="BR238" s="95">
        <f t="shared" si="2740"/>
        <v>5519</v>
      </c>
      <c r="BS238" s="133">
        <f t="shared" si="2717"/>
        <v>-14479</v>
      </c>
      <c r="BT238" s="133">
        <f t="shared" si="2717"/>
        <v>-41407</v>
      </c>
      <c r="BU238" s="133">
        <f t="shared" si="2717"/>
        <v>-69850</v>
      </c>
      <c r="BV238" s="133">
        <f t="shared" si="2717"/>
        <v>-96660</v>
      </c>
      <c r="BW238" s="133">
        <f t="shared" si="2717"/>
        <v>-114404</v>
      </c>
      <c r="BX238" s="133">
        <f t="shared" ref="BX238:CO238" si="2758">BW238-$BQ238</f>
        <v>-136124.16666666666</v>
      </c>
      <c r="BY238" s="133">
        <f t="shared" si="2758"/>
        <v>-157844.33333333331</v>
      </c>
      <c r="BZ238" s="133">
        <f t="shared" si="2758"/>
        <v>-179564.49999999997</v>
      </c>
      <c r="CA238" s="133">
        <f t="shared" si="2758"/>
        <v>-201284.66666666663</v>
      </c>
      <c r="CB238" s="133">
        <f t="shared" si="2758"/>
        <v>-223004.83333333328</v>
      </c>
      <c r="CC238" s="133">
        <f t="shared" si="2758"/>
        <v>-244724.99999999994</v>
      </c>
      <c r="CD238" s="133">
        <f t="shared" si="2758"/>
        <v>-266445.16666666663</v>
      </c>
      <c r="CE238" s="133">
        <f t="shared" si="2758"/>
        <v>-288165.33333333331</v>
      </c>
      <c r="CF238" s="133">
        <f t="shared" si="2758"/>
        <v>-309885.5</v>
      </c>
      <c r="CG238" s="133">
        <f t="shared" si="2758"/>
        <v>-331605.66666666669</v>
      </c>
      <c r="CH238" s="133">
        <f t="shared" si="2758"/>
        <v>-353325.83333333337</v>
      </c>
      <c r="CI238" s="133">
        <f t="shared" si="2758"/>
        <v>-375046.00000000006</v>
      </c>
      <c r="CJ238" s="133">
        <f t="shared" si="2758"/>
        <v>-396766.16666666674</v>
      </c>
      <c r="CK238" s="133">
        <f t="shared" si="2758"/>
        <v>-418486.33333333343</v>
      </c>
      <c r="CL238" s="133">
        <f t="shared" si="2758"/>
        <v>-440206.50000000012</v>
      </c>
      <c r="CM238" s="133">
        <f t="shared" si="2758"/>
        <v>-461926.6666666668</v>
      </c>
      <c r="CN238" s="133">
        <f t="shared" si="2758"/>
        <v>-483646.83333333349</v>
      </c>
      <c r="CO238" s="133">
        <f t="shared" si="2758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41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59">IFERROR(CZ238/CY238,0)</f>
        <v>0</v>
      </c>
      <c r="DB238" s="4">
        <f t="shared" ref="DB238:DB243" si="2760">CY238*FH238</f>
        <v>0</v>
      </c>
      <c r="DC238" s="4">
        <f t="shared" ref="DC238:DC243" si="2761">CZ238*FH238</f>
        <v>0</v>
      </c>
      <c r="DD238" s="136">
        <f t="shared" ref="DD238:DD243" si="2762">IFERROR(DC238/DB238,0)</f>
        <v>0</v>
      </c>
      <c r="DE238" s="31">
        <v>0</v>
      </c>
      <c r="DG238" s="31">
        <v>0</v>
      </c>
      <c r="DH238" s="48">
        <f t="shared" ref="DH238:DH243" si="2763">IFERROR(ROUNDUP(DG238/$EX238,0)*$EY238,0)</f>
        <v>0</v>
      </c>
      <c r="DI238" s="62">
        <v>3500</v>
      </c>
      <c r="DJ238" s="62">
        <v>12928.593999999999</v>
      </c>
      <c r="DK238" s="48">
        <f t="shared" si="2742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43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44"/>
        <v>1</v>
      </c>
      <c r="DV238" s="62">
        <v>0</v>
      </c>
      <c r="DW238" s="62">
        <v>0</v>
      </c>
      <c r="DX238" s="62">
        <f t="shared" ref="DX238:DX243" si="2764">$DF238*BK238/30</f>
        <v>0</v>
      </c>
      <c r="DY238" s="62">
        <f t="shared" si="2745"/>
        <v>0</v>
      </c>
      <c r="DZ238" s="48">
        <f t="shared" ref="DZ238:DZ243" si="2765">IFERROR(ROUNDUP(DX238/$EX238,0)*$EY238,0)</f>
        <v>0</v>
      </c>
      <c r="EA238" s="62">
        <f t="shared" ref="EA238:EA243" si="2766">$DF238*BL238/30</f>
        <v>0</v>
      </c>
      <c r="EB238" s="62">
        <f t="shared" si="2746"/>
        <v>0</v>
      </c>
      <c r="EC238" s="48">
        <f t="shared" ref="EC238:EC243" si="2767">IFERROR(ROUNDUP(EA238/$EX238,0)*$EY238,0)</f>
        <v>0</v>
      </c>
      <c r="ED238" s="62">
        <f t="shared" ref="ED238:ED243" si="2768">$DF238*BM238/30</f>
        <v>0</v>
      </c>
      <c r="EE238" s="62">
        <f t="shared" si="2747"/>
        <v>0</v>
      </c>
      <c r="EF238" s="48">
        <f t="shared" ref="EF238:EF243" si="2769">IFERROR(ROUNDUP(ED238/$EX238,0)*$EY238,0)</f>
        <v>0</v>
      </c>
      <c r="EG238" s="62">
        <f t="shared" ref="EG238:EG243" si="2770">$DF238*BN238/30</f>
        <v>0</v>
      </c>
      <c r="EH238" s="62">
        <f t="shared" si="2748"/>
        <v>0</v>
      </c>
      <c r="EI238" s="48">
        <f t="shared" ref="EI238:EI243" si="2771">IFERROR(ROUNDUP(EG238/$EX238,0)*$EY238,0)</f>
        <v>0</v>
      </c>
      <c r="EJ238" s="62">
        <f t="shared" ref="EJ238:EJ243" si="2772">$DF238*BO238/30</f>
        <v>0</v>
      </c>
      <c r="EK238" s="62">
        <f t="shared" si="2749"/>
        <v>0</v>
      </c>
      <c r="EL238" s="48">
        <f t="shared" ref="EL238:EL243" si="2773">IFERROR(ROUNDUP(EJ238/$EX238,0)*$EY238,0)</f>
        <v>0</v>
      </c>
      <c r="EM238" s="62">
        <f t="shared" ref="EM238:EM243" si="2774">$DF238*BP238/30</f>
        <v>0</v>
      </c>
      <c r="EN238" s="62">
        <f t="shared" si="2750"/>
        <v>0</v>
      </c>
      <c r="EO238" s="48">
        <f t="shared" ref="EO238:EO243" si="2775">IFERROR(ROUNDUP(EM238/$EX238,0)*$EY238,0)</f>
        <v>0</v>
      </c>
      <c r="EP238" s="62">
        <f t="shared" si="2724"/>
        <v>39408.42</v>
      </c>
      <c r="EQ238" s="62">
        <f t="shared" si="2724"/>
        <v>75792.42</v>
      </c>
      <c r="ER238" s="62">
        <f t="shared" si="2724"/>
        <v>102057.12</v>
      </c>
      <c r="ES238" s="62">
        <f t="shared" si="2724"/>
        <v>107798.97</v>
      </c>
      <c r="ET238" s="62">
        <f t="shared" si="2724"/>
        <v>101609.9</v>
      </c>
      <c r="EU238" s="62">
        <f t="shared" si="2724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51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 t="shared" si="2339"/>
        <v>1</v>
      </c>
      <c r="FS238" s="120" t="b">
        <f t="shared" si="2340"/>
        <v>1</v>
      </c>
      <c r="FT238" s="120" t="b">
        <f t="shared" si="2341"/>
        <v>1</v>
      </c>
      <c r="FU238" s="120" t="b">
        <f t="shared" si="2342"/>
        <v>1</v>
      </c>
      <c r="FV238" s="120" t="b">
        <f t="shared" si="2343"/>
        <v>1</v>
      </c>
      <c r="FW238" s="104" t="b">
        <f t="shared" si="2392"/>
        <v>0</v>
      </c>
      <c r="FX238" s="120" t="b">
        <f t="shared" ref="FX238:FX243" si="2776">EXACT(FQ238,BI238)</f>
        <v>1</v>
      </c>
      <c r="FY238" s="104" t="s">
        <v>368</v>
      </c>
      <c r="FZ238" s="104" t="b">
        <f t="shared" ref="FZ238:FZ243" si="2777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78">EXACT(GD238,C238)</f>
        <v>1</v>
      </c>
      <c r="GI238" s="8" t="b">
        <f t="shared" ref="GI238:GI243" si="2779">EXACT(GG238,G238)</f>
        <v>0</v>
      </c>
      <c r="GJ238" s="31" t="s">
        <v>203</v>
      </c>
    </row>
    <row r="239" spans="1:192" hidden="1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25"/>
        <v>нет минмакс</v>
      </c>
      <c r="Q239" s="95">
        <v>0</v>
      </c>
      <c r="R239" s="95">
        <f t="shared" si="2752"/>
        <v>0</v>
      </c>
      <c r="S239" s="114">
        <v>139548</v>
      </c>
      <c r="T239" s="114">
        <v>124197.72</v>
      </c>
      <c r="U239" s="131">
        <f t="shared" si="2726"/>
        <v>5</v>
      </c>
      <c r="V239" s="115">
        <f t="shared" si="2753"/>
        <v>97000</v>
      </c>
      <c r="W239" s="115">
        <f t="shared" si="2727"/>
        <v>89240</v>
      </c>
      <c r="X239" s="115">
        <f t="shared" si="2728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29"/>
        <v>0</v>
      </c>
      <c r="AF239" s="95">
        <f t="shared" si="2730"/>
        <v>0</v>
      </c>
      <c r="AG239" s="114">
        <v>0</v>
      </c>
      <c r="AH239" s="95">
        <f t="shared" si="2754"/>
        <v>97000</v>
      </c>
      <c r="AI239" s="114">
        <f t="shared" si="2731"/>
        <v>89240</v>
      </c>
      <c r="AJ239" s="114">
        <f t="shared" si="2755"/>
        <v>104208</v>
      </c>
      <c r="AK239" s="114">
        <f t="shared" ref="AK239:AK244" si="2780">SUM(CS239:CU239)</f>
        <v>207250</v>
      </c>
      <c r="AL239" s="114">
        <f t="shared" si="2756"/>
        <v>309460</v>
      </c>
      <c r="AM239" s="114">
        <f t="shared" si="2757"/>
        <v>515610</v>
      </c>
      <c r="AN239" s="133">
        <f t="shared" si="2732"/>
        <v>48.716355384883926</v>
      </c>
      <c r="AO239" s="133" t="str">
        <f t="shared" si="2733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34"/>
        <v>0-01</v>
      </c>
      <c r="AW239" s="126">
        <f t="shared" si="2735"/>
        <v>0</v>
      </c>
      <c r="AX239" s="138"/>
      <c r="AY239" s="115">
        <f t="shared" si="2736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37"/>
        <v>0</v>
      </c>
      <c r="BG239" s="32">
        <v>0</v>
      </c>
      <c r="BH239" s="32">
        <f t="shared" si="2738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39"/>
        <v>85935</v>
      </c>
      <c r="BR239" s="95">
        <f t="shared" si="2740"/>
        <v>-16338</v>
      </c>
      <c r="BS239" s="133">
        <f t="shared" ref="BS239:BW244" si="2781">BR239-BL239</f>
        <v>-186858</v>
      </c>
      <c r="BT239" s="133">
        <f t="shared" si="2781"/>
        <v>-235855</v>
      </c>
      <c r="BU239" s="133">
        <f t="shared" si="2781"/>
        <v>-292452</v>
      </c>
      <c r="BV239" s="133">
        <f t="shared" si="2781"/>
        <v>-360117</v>
      </c>
      <c r="BW239" s="133">
        <f t="shared" si="2781"/>
        <v>-418610</v>
      </c>
      <c r="BX239" s="133">
        <f t="shared" ref="BX239:CO241" si="2782">BW239-$BQ239</f>
        <v>-504545</v>
      </c>
      <c r="BY239" s="133">
        <f t="shared" si="2782"/>
        <v>-590480</v>
      </c>
      <c r="BZ239" s="133">
        <f t="shared" si="2782"/>
        <v>-676415</v>
      </c>
      <c r="CA239" s="133">
        <f t="shared" si="2782"/>
        <v>-762350</v>
      </c>
      <c r="CB239" s="133">
        <f t="shared" si="2782"/>
        <v>-848285</v>
      </c>
      <c r="CC239" s="133">
        <f t="shared" si="2782"/>
        <v>-934220</v>
      </c>
      <c r="CD239" s="133">
        <f t="shared" si="2782"/>
        <v>-1020155</v>
      </c>
      <c r="CE239" s="133">
        <f t="shared" si="2782"/>
        <v>-1106090</v>
      </c>
      <c r="CF239" s="133">
        <f t="shared" si="2782"/>
        <v>-1192025</v>
      </c>
      <c r="CG239" s="133">
        <f t="shared" si="2782"/>
        <v>-1277960</v>
      </c>
      <c r="CH239" s="133">
        <f t="shared" si="2782"/>
        <v>-1363895</v>
      </c>
      <c r="CI239" s="133">
        <f t="shared" si="2782"/>
        <v>-1449830</v>
      </c>
      <c r="CJ239" s="133">
        <f t="shared" si="2782"/>
        <v>-1535765</v>
      </c>
      <c r="CK239" s="133">
        <f t="shared" si="2782"/>
        <v>-1621700</v>
      </c>
      <c r="CL239" s="133">
        <f t="shared" si="2782"/>
        <v>-1707635</v>
      </c>
      <c r="CM239" s="133">
        <f t="shared" si="2782"/>
        <v>-1793570</v>
      </c>
      <c r="CN239" s="133">
        <f t="shared" si="2782"/>
        <v>-1879505</v>
      </c>
      <c r="CO239" s="133">
        <f t="shared" si="2782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41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59"/>
        <v>0</v>
      </c>
      <c r="DB239" s="4">
        <f t="shared" si="2760"/>
        <v>0</v>
      </c>
      <c r="DC239" s="4">
        <f t="shared" si="2761"/>
        <v>0</v>
      </c>
      <c r="DD239" s="136">
        <f t="shared" si="2762"/>
        <v>0</v>
      </c>
      <c r="DE239" s="31">
        <v>0</v>
      </c>
      <c r="DG239" s="31">
        <v>0</v>
      </c>
      <c r="DH239" s="48">
        <f t="shared" si="2763"/>
        <v>0</v>
      </c>
      <c r="DI239" s="62">
        <v>89051.064000000013</v>
      </c>
      <c r="DJ239" s="62">
        <v>72554.584000000003</v>
      </c>
      <c r="DK239" s="48">
        <f t="shared" si="2742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43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44"/>
        <v>3</v>
      </c>
      <c r="DV239" s="62">
        <v>58040</v>
      </c>
      <c r="DW239" s="62">
        <v>47252.078749754888</v>
      </c>
      <c r="DX239" s="62">
        <f t="shared" si="2764"/>
        <v>0</v>
      </c>
      <c r="DY239" s="62">
        <f t="shared" si="2745"/>
        <v>0</v>
      </c>
      <c r="DZ239" s="48">
        <f t="shared" si="2765"/>
        <v>0</v>
      </c>
      <c r="EA239" s="62">
        <f t="shared" si="2766"/>
        <v>0</v>
      </c>
      <c r="EB239" s="62">
        <f t="shared" si="2746"/>
        <v>0</v>
      </c>
      <c r="EC239" s="48">
        <f t="shared" si="2767"/>
        <v>0</v>
      </c>
      <c r="ED239" s="62">
        <f t="shared" si="2768"/>
        <v>0</v>
      </c>
      <c r="EE239" s="62">
        <f t="shared" si="2747"/>
        <v>0</v>
      </c>
      <c r="EF239" s="48">
        <f t="shared" si="2769"/>
        <v>0</v>
      </c>
      <c r="EG239" s="62">
        <f t="shared" si="2770"/>
        <v>0</v>
      </c>
      <c r="EH239" s="62">
        <f t="shared" si="2748"/>
        <v>0</v>
      </c>
      <c r="EI239" s="48">
        <f t="shared" si="2771"/>
        <v>0</v>
      </c>
      <c r="EJ239" s="62">
        <f t="shared" si="2772"/>
        <v>0</v>
      </c>
      <c r="EK239" s="62">
        <f t="shared" si="2749"/>
        <v>0</v>
      </c>
      <c r="EL239" s="48">
        <f t="shared" si="2773"/>
        <v>0</v>
      </c>
      <c r="EM239" s="62">
        <f t="shared" si="2774"/>
        <v>0</v>
      </c>
      <c r="EN239" s="62">
        <f t="shared" si="2750"/>
        <v>0</v>
      </c>
      <c r="EO239" s="48">
        <f t="shared" si="2775"/>
        <v>0</v>
      </c>
      <c r="EP239" s="62">
        <f t="shared" ref="EP239:ER245" si="2783">BK239*$FH239</f>
        <v>104270.96</v>
      </c>
      <c r="EQ239" s="62">
        <f t="shared" si="2783"/>
        <v>156878.39999999999</v>
      </c>
      <c r="ER239" s="62">
        <f t="shared" si="2783"/>
        <v>45077.240000000005</v>
      </c>
      <c r="ES239" s="62">
        <f t="shared" ref="ES239:EU245" si="2784">BN239*$FH239</f>
        <v>52069.240000000005</v>
      </c>
      <c r="ET239" s="62">
        <f t="shared" si="2784"/>
        <v>62251.8</v>
      </c>
      <c r="EU239" s="62">
        <f t="shared" si="2784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51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 t="shared" si="2339"/>
        <v>1</v>
      </c>
      <c r="FS239" s="120" t="b">
        <f t="shared" si="2340"/>
        <v>1</v>
      </c>
      <c r="FT239" s="120" t="b">
        <f t="shared" si="2341"/>
        <v>1</v>
      </c>
      <c r="FU239" s="120" t="b">
        <f t="shared" si="2342"/>
        <v>1</v>
      </c>
      <c r="FV239" s="120" t="b">
        <f t="shared" si="2343"/>
        <v>1</v>
      </c>
      <c r="FW239" s="104" t="b">
        <f t="shared" si="2392"/>
        <v>0</v>
      </c>
      <c r="FX239" s="120" t="b">
        <f t="shared" si="2776"/>
        <v>1</v>
      </c>
      <c r="FY239" s="104" t="s">
        <v>368</v>
      </c>
      <c r="FZ239" s="104" t="b">
        <f t="shared" si="2777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78"/>
        <v>1</v>
      </c>
      <c r="GI239" s="8" t="b">
        <f t="shared" si="2779"/>
        <v>0</v>
      </c>
      <c r="GJ239" s="31" t="s">
        <v>203</v>
      </c>
    </row>
    <row r="240" spans="1:192" hidden="1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25"/>
        <v>нет минмакс</v>
      </c>
      <c r="Q240" s="95">
        <v>38500</v>
      </c>
      <c r="R240" s="95">
        <f t="shared" si="2752"/>
        <v>130130</v>
      </c>
      <c r="S240" s="114">
        <v>30000</v>
      </c>
      <c r="T240" s="114">
        <v>114000</v>
      </c>
      <c r="U240" s="131">
        <f t="shared" si="2726"/>
        <v>3</v>
      </c>
      <c r="V240" s="115">
        <f t="shared" si="2753"/>
        <v>16000</v>
      </c>
      <c r="W240" s="115">
        <f t="shared" si="2727"/>
        <v>54080</v>
      </c>
      <c r="X240" s="115">
        <f t="shared" si="2728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29"/>
        <v>0</v>
      </c>
      <c r="AF240" s="95">
        <f t="shared" si="2730"/>
        <v>0</v>
      </c>
      <c r="AG240" s="114">
        <v>0</v>
      </c>
      <c r="AH240" s="95">
        <f t="shared" si="2754"/>
        <v>16000</v>
      </c>
      <c r="AI240" s="114">
        <f t="shared" si="2731"/>
        <v>54080</v>
      </c>
      <c r="AJ240" s="114">
        <f t="shared" si="2755"/>
        <v>28207</v>
      </c>
      <c r="AK240" s="114">
        <f t="shared" si="2780"/>
        <v>62684</v>
      </c>
      <c r="AL240" s="114">
        <f t="shared" si="2756"/>
        <v>80891</v>
      </c>
      <c r="AM240" s="114">
        <f t="shared" si="2757"/>
        <v>152964</v>
      </c>
      <c r="AN240" s="133">
        <f t="shared" si="2732"/>
        <v>35.302424099788183</v>
      </c>
      <c r="AO240" s="133" t="str">
        <f t="shared" si="2733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34"/>
        <v>0-02</v>
      </c>
      <c r="AW240" s="126">
        <f t="shared" si="2735"/>
        <v>0</v>
      </c>
      <c r="AX240" s="138"/>
      <c r="AY240" s="115">
        <f t="shared" si="2736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37"/>
        <v>0</v>
      </c>
      <c r="BG240" s="32">
        <v>0</v>
      </c>
      <c r="BH240" s="32">
        <f t="shared" si="2738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39"/>
        <v>25494</v>
      </c>
      <c r="BR240" s="95">
        <f t="shared" si="2740"/>
        <v>18236</v>
      </c>
      <c r="BS240" s="133">
        <f t="shared" si="2781"/>
        <v>-8092</v>
      </c>
      <c r="BT240" s="133">
        <f t="shared" si="2781"/>
        <v>-35665</v>
      </c>
      <c r="BU240" s="133">
        <f t="shared" si="2781"/>
        <v>-62406</v>
      </c>
      <c r="BV240" s="133">
        <f t="shared" si="2781"/>
        <v>-89507</v>
      </c>
      <c r="BW240" s="133">
        <f t="shared" si="2781"/>
        <v>-114464</v>
      </c>
      <c r="BX240" s="133">
        <f t="shared" si="2782"/>
        <v>-139958</v>
      </c>
      <c r="BY240" s="133">
        <f t="shared" si="2782"/>
        <v>-165452</v>
      </c>
      <c r="BZ240" s="133">
        <f t="shared" si="2782"/>
        <v>-190946</v>
      </c>
      <c r="CA240" s="133">
        <f t="shared" si="2782"/>
        <v>-216440</v>
      </c>
      <c r="CB240" s="133">
        <f t="shared" si="2782"/>
        <v>-241934</v>
      </c>
      <c r="CC240" s="133">
        <f t="shared" si="2782"/>
        <v>-267428</v>
      </c>
      <c r="CD240" s="133">
        <f t="shared" si="2782"/>
        <v>-292922</v>
      </c>
      <c r="CE240" s="133">
        <f t="shared" si="2782"/>
        <v>-318416</v>
      </c>
      <c r="CF240" s="133">
        <f t="shared" si="2782"/>
        <v>-343910</v>
      </c>
      <c r="CG240" s="133">
        <f t="shared" si="2782"/>
        <v>-369404</v>
      </c>
      <c r="CH240" s="133">
        <f t="shared" si="2782"/>
        <v>-394898</v>
      </c>
      <c r="CI240" s="133">
        <f t="shared" si="2782"/>
        <v>-420392</v>
      </c>
      <c r="CJ240" s="133">
        <f t="shared" si="2782"/>
        <v>-445886</v>
      </c>
      <c r="CK240" s="133">
        <f t="shared" si="2782"/>
        <v>-471380</v>
      </c>
      <c r="CL240" s="133">
        <f t="shared" si="2782"/>
        <v>-496874</v>
      </c>
      <c r="CM240" s="133">
        <f t="shared" si="2782"/>
        <v>-522368</v>
      </c>
      <c r="CN240" s="133">
        <f t="shared" si="2782"/>
        <v>-547862</v>
      </c>
      <c r="CO240" s="133">
        <f t="shared" si="2782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41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59"/>
        <v>0</v>
      </c>
      <c r="DB240" s="4">
        <f t="shared" si="2760"/>
        <v>0</v>
      </c>
      <c r="DC240" s="4">
        <f t="shared" si="2761"/>
        <v>0</v>
      </c>
      <c r="DD240" s="136">
        <f t="shared" si="2762"/>
        <v>0</v>
      </c>
      <c r="DE240" s="31">
        <v>0</v>
      </c>
      <c r="DG240" s="31">
        <v>0</v>
      </c>
      <c r="DH240" s="48">
        <f t="shared" si="2763"/>
        <v>0</v>
      </c>
      <c r="DI240" s="62">
        <v>16032.258000000002</v>
      </c>
      <c r="DJ240" s="62">
        <v>60274.834000000003</v>
      </c>
      <c r="DK240" s="48">
        <f t="shared" si="2742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43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44"/>
        <v>3</v>
      </c>
      <c r="DV240" s="62">
        <v>7303</v>
      </c>
      <c r="DW240" s="62">
        <v>27456.336890999999</v>
      </c>
      <c r="DX240" s="62">
        <f t="shared" si="2764"/>
        <v>0</v>
      </c>
      <c r="DY240" s="62">
        <f t="shared" si="2745"/>
        <v>0</v>
      </c>
      <c r="DZ240" s="48">
        <f t="shared" si="2765"/>
        <v>0</v>
      </c>
      <c r="EA240" s="62">
        <f t="shared" si="2766"/>
        <v>0</v>
      </c>
      <c r="EB240" s="62">
        <f t="shared" si="2746"/>
        <v>0</v>
      </c>
      <c r="EC240" s="48">
        <f t="shared" si="2767"/>
        <v>0</v>
      </c>
      <c r="ED240" s="62">
        <f t="shared" si="2768"/>
        <v>0</v>
      </c>
      <c r="EE240" s="62">
        <f t="shared" si="2747"/>
        <v>0</v>
      </c>
      <c r="EF240" s="48">
        <f t="shared" si="2769"/>
        <v>0</v>
      </c>
      <c r="EG240" s="62">
        <f t="shared" si="2770"/>
        <v>0</v>
      </c>
      <c r="EH240" s="62">
        <f t="shared" si="2748"/>
        <v>0</v>
      </c>
      <c r="EI240" s="48">
        <f t="shared" si="2771"/>
        <v>0</v>
      </c>
      <c r="EJ240" s="62">
        <f t="shared" si="2772"/>
        <v>0</v>
      </c>
      <c r="EK240" s="62">
        <f t="shared" si="2749"/>
        <v>0</v>
      </c>
      <c r="EL240" s="48">
        <f t="shared" si="2773"/>
        <v>0</v>
      </c>
      <c r="EM240" s="62">
        <f t="shared" si="2774"/>
        <v>0</v>
      </c>
      <c r="EN240" s="62">
        <f t="shared" si="2750"/>
        <v>0</v>
      </c>
      <c r="EO240" s="48">
        <f t="shared" si="2775"/>
        <v>0</v>
      </c>
      <c r="EP240" s="62">
        <f t="shared" si="2783"/>
        <v>68492.319999999992</v>
      </c>
      <c r="EQ240" s="62">
        <f t="shared" si="2783"/>
        <v>88988.64</v>
      </c>
      <c r="ER240" s="62">
        <f t="shared" si="2783"/>
        <v>93196.739999999991</v>
      </c>
      <c r="ES240" s="62">
        <f t="shared" si="2784"/>
        <v>90384.58</v>
      </c>
      <c r="ET240" s="62">
        <f t="shared" si="2784"/>
        <v>91601.37999999999</v>
      </c>
      <c r="EU240" s="62">
        <f t="shared" si="2784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51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 t="shared" si="2339"/>
        <v>1</v>
      </c>
      <c r="FS240" s="120" t="b">
        <f t="shared" si="2340"/>
        <v>1</v>
      </c>
      <c r="FT240" s="120" t="b">
        <f t="shared" si="2341"/>
        <v>1</v>
      </c>
      <c r="FU240" s="120" t="b">
        <f t="shared" si="2342"/>
        <v>1</v>
      </c>
      <c r="FV240" s="120" t="b">
        <f t="shared" si="2343"/>
        <v>1</v>
      </c>
      <c r="FW240" s="104" t="b">
        <f t="shared" si="2392"/>
        <v>0</v>
      </c>
      <c r="FX240" s="120" t="b">
        <f t="shared" si="2776"/>
        <v>1</v>
      </c>
      <c r="FY240" s="104" t="s">
        <v>368</v>
      </c>
      <c r="FZ240" s="104" t="b">
        <f t="shared" si="2777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78"/>
        <v>1</v>
      </c>
      <c r="GI240" s="8" t="b">
        <f t="shared" si="2779"/>
        <v>0</v>
      </c>
      <c r="GJ240" s="31" t="s">
        <v>203</v>
      </c>
    </row>
    <row r="241" spans="1:192" hidden="1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25"/>
        <v>нет минмакс</v>
      </c>
      <c r="Q241" s="95">
        <v>215662</v>
      </c>
      <c r="R241" s="95">
        <f t="shared" si="2752"/>
        <v>161746.5</v>
      </c>
      <c r="S241" s="114">
        <v>142000</v>
      </c>
      <c r="T241" s="114">
        <v>122120</v>
      </c>
      <c r="U241" s="131">
        <f t="shared" si="2726"/>
        <v>4</v>
      </c>
      <c r="V241" s="115">
        <f t="shared" si="2753"/>
        <v>80000</v>
      </c>
      <c r="W241" s="115">
        <f t="shared" si="2727"/>
        <v>60000</v>
      </c>
      <c r="X241" s="115">
        <f t="shared" si="2728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29"/>
        <v>0</v>
      </c>
      <c r="AF241" s="95">
        <f t="shared" si="2730"/>
        <v>0</v>
      </c>
      <c r="AG241" s="114">
        <v>0</v>
      </c>
      <c r="AH241" s="95">
        <f t="shared" si="2754"/>
        <v>80000</v>
      </c>
      <c r="AI241" s="114">
        <f t="shared" si="2731"/>
        <v>60000</v>
      </c>
      <c r="AJ241" s="114">
        <f t="shared" si="2755"/>
        <v>118000</v>
      </c>
      <c r="AK241" s="114">
        <f t="shared" si="2780"/>
        <v>447010</v>
      </c>
      <c r="AL241" s="114">
        <f t="shared" si="2756"/>
        <v>616958</v>
      </c>
      <c r="AM241" s="114">
        <f t="shared" si="2757"/>
        <v>760513</v>
      </c>
      <c r="AN241" s="133">
        <f t="shared" si="2732"/>
        <v>33.608892944630796</v>
      </c>
      <c r="AO241" s="133" t="str">
        <f t="shared" si="2733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34"/>
        <v>0-02</v>
      </c>
      <c r="AW241" s="126">
        <f t="shared" si="2735"/>
        <v>0</v>
      </c>
      <c r="AX241" s="138"/>
      <c r="AY241" s="115">
        <f t="shared" si="2736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37"/>
        <v>0</v>
      </c>
      <c r="BG241" s="32">
        <v>0</v>
      </c>
      <c r="BH241" s="32">
        <f t="shared" si="2738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39"/>
        <v>126752.16666666667</v>
      </c>
      <c r="BR241" s="95">
        <f t="shared" si="2740"/>
        <v>108227</v>
      </c>
      <c r="BS241" s="133">
        <f t="shared" si="2781"/>
        <v>-37383</v>
      </c>
      <c r="BT241" s="133">
        <f t="shared" si="2781"/>
        <v>-194380</v>
      </c>
      <c r="BU241" s="133">
        <f t="shared" si="2781"/>
        <v>-361902</v>
      </c>
      <c r="BV241" s="133">
        <f t="shared" si="2781"/>
        <v>-466785</v>
      </c>
      <c r="BW241" s="133">
        <f t="shared" si="2781"/>
        <v>-544851</v>
      </c>
      <c r="BX241" s="133">
        <f t="shared" si="2782"/>
        <v>-671603.16666666663</v>
      </c>
      <c r="BY241" s="133">
        <f t="shared" si="2782"/>
        <v>-798355.33333333326</v>
      </c>
      <c r="BZ241" s="133">
        <f t="shared" si="2782"/>
        <v>-925107.49999999988</v>
      </c>
      <c r="CA241" s="133">
        <f t="shared" ref="CA241:CO241" si="2785">BZ241-$BQ241</f>
        <v>-1051859.6666666665</v>
      </c>
      <c r="CB241" s="133">
        <f t="shared" si="2785"/>
        <v>-1178611.8333333333</v>
      </c>
      <c r="CC241" s="133">
        <f t="shared" si="2785"/>
        <v>-1305364</v>
      </c>
      <c r="CD241" s="133">
        <f t="shared" si="2785"/>
        <v>-1432116.1666666667</v>
      </c>
      <c r="CE241" s="133">
        <f t="shared" si="2785"/>
        <v>-1558868.3333333335</v>
      </c>
      <c r="CF241" s="133">
        <f t="shared" si="2785"/>
        <v>-1685620.5000000002</v>
      </c>
      <c r="CG241" s="133">
        <f t="shared" si="2785"/>
        <v>-1812372.666666667</v>
      </c>
      <c r="CH241" s="133">
        <f t="shared" si="2785"/>
        <v>-1939124.8333333337</v>
      </c>
      <c r="CI241" s="133">
        <f t="shared" si="2785"/>
        <v>-2065877.0000000005</v>
      </c>
      <c r="CJ241" s="133">
        <f t="shared" si="2785"/>
        <v>-2192629.166666667</v>
      </c>
      <c r="CK241" s="133">
        <f t="shared" si="2785"/>
        <v>-2319381.3333333335</v>
      </c>
      <c r="CL241" s="133">
        <f t="shared" si="2785"/>
        <v>-2446133.5</v>
      </c>
      <c r="CM241" s="133">
        <f t="shared" si="2785"/>
        <v>-2572885.6666666665</v>
      </c>
      <c r="CN241" s="133">
        <f t="shared" si="2785"/>
        <v>-2699637.833333333</v>
      </c>
      <c r="CO241" s="133">
        <f t="shared" si="2785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41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59"/>
        <v>0</v>
      </c>
      <c r="DB241" s="4">
        <f t="shared" si="2760"/>
        <v>0</v>
      </c>
      <c r="DC241" s="4">
        <f t="shared" si="2761"/>
        <v>0</v>
      </c>
      <c r="DD241" s="136">
        <f t="shared" si="2762"/>
        <v>0</v>
      </c>
      <c r="DE241" s="31">
        <v>0</v>
      </c>
      <c r="DG241" s="31">
        <v>0</v>
      </c>
      <c r="DH241" s="48">
        <f t="shared" si="2763"/>
        <v>0</v>
      </c>
      <c r="DI241" s="62">
        <v>147949.16099999999</v>
      </c>
      <c r="DJ241" s="62">
        <v>115946.61200000001</v>
      </c>
      <c r="DK241" s="48">
        <f t="shared" si="2742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43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44"/>
        <v>3</v>
      </c>
      <c r="DV241" s="62">
        <v>195949</v>
      </c>
      <c r="DW241" s="62">
        <v>153531.09969002692</v>
      </c>
      <c r="DX241" s="62">
        <f t="shared" si="2764"/>
        <v>0</v>
      </c>
      <c r="DY241" s="62">
        <f t="shared" si="2745"/>
        <v>0</v>
      </c>
      <c r="DZ241" s="48">
        <f t="shared" si="2765"/>
        <v>0</v>
      </c>
      <c r="EA241" s="62">
        <f t="shared" si="2766"/>
        <v>0</v>
      </c>
      <c r="EB241" s="62">
        <f t="shared" si="2746"/>
        <v>0</v>
      </c>
      <c r="EC241" s="48">
        <f t="shared" si="2767"/>
        <v>0</v>
      </c>
      <c r="ED241" s="62">
        <f t="shared" si="2768"/>
        <v>0</v>
      </c>
      <c r="EE241" s="62">
        <f t="shared" si="2747"/>
        <v>0</v>
      </c>
      <c r="EF241" s="48">
        <f t="shared" si="2769"/>
        <v>0</v>
      </c>
      <c r="EG241" s="62">
        <f t="shared" si="2770"/>
        <v>0</v>
      </c>
      <c r="EH241" s="62">
        <f t="shared" si="2748"/>
        <v>0</v>
      </c>
      <c r="EI241" s="48">
        <f t="shared" si="2771"/>
        <v>0</v>
      </c>
      <c r="EJ241" s="62">
        <f t="shared" si="2772"/>
        <v>0</v>
      </c>
      <c r="EK241" s="62">
        <f t="shared" si="2749"/>
        <v>0</v>
      </c>
      <c r="EL241" s="48">
        <f t="shared" si="2773"/>
        <v>0</v>
      </c>
      <c r="EM241" s="62">
        <f t="shared" si="2774"/>
        <v>0</v>
      </c>
      <c r="EN241" s="62">
        <f t="shared" si="2750"/>
        <v>0</v>
      </c>
      <c r="EO241" s="48">
        <f t="shared" si="2775"/>
        <v>0</v>
      </c>
      <c r="EP241" s="62">
        <f t="shared" si="2783"/>
        <v>80576.25</v>
      </c>
      <c r="EQ241" s="62">
        <f t="shared" si="2783"/>
        <v>109207.5</v>
      </c>
      <c r="ER241" s="62">
        <f t="shared" si="2783"/>
        <v>117747.75</v>
      </c>
      <c r="ES241" s="62">
        <f t="shared" si="2784"/>
        <v>125641.5</v>
      </c>
      <c r="ET241" s="62">
        <f t="shared" si="2784"/>
        <v>78662.25</v>
      </c>
      <c r="EU241" s="62">
        <f t="shared" si="2784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51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 t="shared" si="2339"/>
        <v>1</v>
      </c>
      <c r="FS241" s="120" t="b">
        <f t="shared" si="2340"/>
        <v>1</v>
      </c>
      <c r="FT241" s="120" t="b">
        <f t="shared" si="2341"/>
        <v>1</v>
      </c>
      <c r="FU241" s="120" t="b">
        <f t="shared" si="2342"/>
        <v>1</v>
      </c>
      <c r="FV241" s="120" t="b">
        <f t="shared" si="2343"/>
        <v>1</v>
      </c>
      <c r="FW241" s="104" t="b">
        <f t="shared" si="2392"/>
        <v>0</v>
      </c>
      <c r="FX241" s="120" t="b">
        <f t="shared" si="2776"/>
        <v>1</v>
      </c>
      <c r="FY241" s="104" t="s">
        <v>368</v>
      </c>
      <c r="FZ241" s="104" t="b">
        <f t="shared" si="2777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78"/>
        <v>1</v>
      </c>
      <c r="GI241" s="8" t="b">
        <f t="shared" si="2779"/>
        <v>0</v>
      </c>
      <c r="GJ241" s="31" t="s">
        <v>203</v>
      </c>
    </row>
    <row r="242" spans="1:192" ht="30" hidden="1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25"/>
        <v>нет минмакс</v>
      </c>
      <c r="Q242" s="95">
        <v>475</v>
      </c>
      <c r="R242" s="95">
        <f t="shared" si="2752"/>
        <v>109250</v>
      </c>
      <c r="S242" s="131">
        <v>475</v>
      </c>
      <c r="T242" s="131">
        <v>109250</v>
      </c>
      <c r="U242" s="131">
        <f t="shared" si="2726"/>
        <v>1.5</v>
      </c>
      <c r="V242" s="113">
        <f t="shared" si="2753"/>
        <v>475</v>
      </c>
      <c r="W242" s="113">
        <f t="shared" si="2727"/>
        <v>109250</v>
      </c>
      <c r="X242" s="113">
        <f t="shared" si="2728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29"/>
        <v>0</v>
      </c>
      <c r="AF242" s="95">
        <f t="shared" si="2730"/>
        <v>0</v>
      </c>
      <c r="AG242" s="114">
        <v>0</v>
      </c>
      <c r="AH242" s="95">
        <f t="shared" si="2754"/>
        <v>475</v>
      </c>
      <c r="AI242" s="114">
        <f t="shared" si="2731"/>
        <v>109250</v>
      </c>
      <c r="AJ242" s="133">
        <f t="shared" si="2755"/>
        <v>0</v>
      </c>
      <c r="AK242" s="133">
        <f t="shared" si="2780"/>
        <v>0</v>
      </c>
      <c r="AL242" s="133">
        <f t="shared" si="2756"/>
        <v>0</v>
      </c>
      <c r="AM242" s="133">
        <f t="shared" si="2757"/>
        <v>0</v>
      </c>
      <c r="AN242" s="133" t="str">
        <f t="shared" si="2732"/>
        <v>нет оборота</v>
      </c>
      <c r="AO242" s="133" t="str">
        <f t="shared" si="2733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34"/>
        <v>Нет планов</v>
      </c>
      <c r="AW242" s="117">
        <f t="shared" si="2735"/>
        <v>109250</v>
      </c>
      <c r="AX242" s="14"/>
      <c r="AY242" s="25">
        <f t="shared" si="2736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37"/>
        <v>0</v>
      </c>
      <c r="BG242" s="32">
        <v>0</v>
      </c>
      <c r="BH242" s="32">
        <f t="shared" si="2738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39"/>
        <v>0</v>
      </c>
      <c r="BR242" s="95">
        <f t="shared" si="2740"/>
        <v>475</v>
      </c>
      <c r="BS242" s="133">
        <f t="shared" si="2781"/>
        <v>475</v>
      </c>
      <c r="BT242" s="133">
        <f t="shared" si="2781"/>
        <v>475</v>
      </c>
      <c r="BU242" s="133">
        <f t="shared" si="2781"/>
        <v>475</v>
      </c>
      <c r="BV242" s="133">
        <f t="shared" si="2781"/>
        <v>475</v>
      </c>
      <c r="BW242" s="133">
        <f t="shared" si="2781"/>
        <v>475</v>
      </c>
      <c r="BX242" s="133">
        <f t="shared" ref="BX242:CO243" si="2786">BW242-$BQ242</f>
        <v>475</v>
      </c>
      <c r="BY242" s="133">
        <f t="shared" si="2786"/>
        <v>475</v>
      </c>
      <c r="BZ242" s="133">
        <f t="shared" si="2786"/>
        <v>475</v>
      </c>
      <c r="CA242" s="133">
        <f t="shared" si="2786"/>
        <v>475</v>
      </c>
      <c r="CB242" s="133">
        <f t="shared" si="2786"/>
        <v>475</v>
      </c>
      <c r="CC242" s="133">
        <f t="shared" si="2786"/>
        <v>475</v>
      </c>
      <c r="CD242" s="133">
        <f t="shared" si="2786"/>
        <v>475</v>
      </c>
      <c r="CE242" s="133">
        <f t="shared" si="2786"/>
        <v>475</v>
      </c>
      <c r="CF242" s="133">
        <f t="shared" si="2786"/>
        <v>475</v>
      </c>
      <c r="CG242" s="133">
        <f t="shared" si="2786"/>
        <v>475</v>
      </c>
      <c r="CH242" s="133">
        <f t="shared" si="2786"/>
        <v>475</v>
      </c>
      <c r="CI242" s="133">
        <f t="shared" si="2786"/>
        <v>475</v>
      </c>
      <c r="CJ242" s="133">
        <f t="shared" si="2786"/>
        <v>475</v>
      </c>
      <c r="CK242" s="133">
        <f t="shared" si="2786"/>
        <v>475</v>
      </c>
      <c r="CL242" s="133">
        <f t="shared" si="2786"/>
        <v>475</v>
      </c>
      <c r="CM242" s="133">
        <f t="shared" si="2786"/>
        <v>475</v>
      </c>
      <c r="CN242" s="133">
        <f t="shared" si="2786"/>
        <v>475</v>
      </c>
      <c r="CO242" s="133">
        <f t="shared" si="2786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41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59"/>
        <v>0</v>
      </c>
      <c r="DB242" s="4">
        <f t="shared" si="2760"/>
        <v>0</v>
      </c>
      <c r="DC242" s="4">
        <f t="shared" si="2761"/>
        <v>0</v>
      </c>
      <c r="DD242" s="136">
        <f t="shared" si="2762"/>
        <v>0</v>
      </c>
      <c r="DE242" s="31">
        <v>0</v>
      </c>
      <c r="DF242" s="31">
        <v>30</v>
      </c>
      <c r="DG242" s="31">
        <v>475</v>
      </c>
      <c r="DH242" s="48">
        <f t="shared" si="2763"/>
        <v>1.5</v>
      </c>
      <c r="DI242" s="62">
        <v>475</v>
      </c>
      <c r="DJ242" s="62">
        <v>109250</v>
      </c>
      <c r="DK242" s="48">
        <f t="shared" si="2742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43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44"/>
        <v>1.5</v>
      </c>
      <c r="DV242" s="62">
        <v>0</v>
      </c>
      <c r="DW242" s="62">
        <v>0</v>
      </c>
      <c r="DX242" s="62">
        <f t="shared" si="2764"/>
        <v>0</v>
      </c>
      <c r="DY242" s="62">
        <f t="shared" si="2745"/>
        <v>0</v>
      </c>
      <c r="DZ242" s="48">
        <f t="shared" si="2765"/>
        <v>0</v>
      </c>
      <c r="EA242" s="62">
        <f t="shared" si="2766"/>
        <v>0</v>
      </c>
      <c r="EB242" s="62">
        <f t="shared" si="2746"/>
        <v>0</v>
      </c>
      <c r="EC242" s="48">
        <f t="shared" si="2767"/>
        <v>0</v>
      </c>
      <c r="ED242" s="62">
        <f t="shared" si="2768"/>
        <v>0</v>
      </c>
      <c r="EE242" s="62">
        <f t="shared" si="2747"/>
        <v>0</v>
      </c>
      <c r="EF242" s="48">
        <f t="shared" si="2769"/>
        <v>0</v>
      </c>
      <c r="EG242" s="62">
        <f t="shared" si="2770"/>
        <v>0</v>
      </c>
      <c r="EH242" s="62">
        <f t="shared" si="2748"/>
        <v>0</v>
      </c>
      <c r="EI242" s="48">
        <f t="shared" si="2771"/>
        <v>0</v>
      </c>
      <c r="EJ242" s="62">
        <f t="shared" si="2772"/>
        <v>0</v>
      </c>
      <c r="EK242" s="62">
        <f t="shared" si="2749"/>
        <v>0</v>
      </c>
      <c r="EL242" s="48">
        <f t="shared" si="2773"/>
        <v>0</v>
      </c>
      <c r="EM242" s="62">
        <f t="shared" si="2774"/>
        <v>0</v>
      </c>
      <c r="EN242" s="62">
        <f t="shared" si="2750"/>
        <v>0</v>
      </c>
      <c r="EO242" s="48">
        <f t="shared" si="2775"/>
        <v>0</v>
      </c>
      <c r="EP242" s="62">
        <f t="shared" si="2783"/>
        <v>0</v>
      </c>
      <c r="EQ242" s="62">
        <f t="shared" si="2783"/>
        <v>0</v>
      </c>
      <c r="ER242" s="62">
        <f t="shared" si="2783"/>
        <v>0</v>
      </c>
      <c r="ES242" s="62">
        <f t="shared" si="2784"/>
        <v>0</v>
      </c>
      <c r="ET242" s="62">
        <f t="shared" si="2784"/>
        <v>0</v>
      </c>
      <c r="EU242" s="62">
        <f t="shared" si="2784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51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 t="shared" si="2339"/>
        <v>1</v>
      </c>
      <c r="FS242" s="103" t="b">
        <f t="shared" si="2340"/>
        <v>1</v>
      </c>
      <c r="FT242" s="103" t="b">
        <f t="shared" si="2341"/>
        <v>0</v>
      </c>
      <c r="FU242" s="103" t="b">
        <f t="shared" si="2342"/>
        <v>0</v>
      </c>
      <c r="FV242" s="103" t="b">
        <f t="shared" si="2343"/>
        <v>1</v>
      </c>
      <c r="FW242" s="104" t="b">
        <f t="shared" si="2392"/>
        <v>0</v>
      </c>
      <c r="FX242" s="120" t="b">
        <f t="shared" si="2776"/>
        <v>1</v>
      </c>
      <c r="FY242" s="104" t="s">
        <v>368</v>
      </c>
      <c r="FZ242" s="104" t="b">
        <f t="shared" si="2777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78"/>
        <v>1</v>
      </c>
      <c r="GI242" s="8" t="b">
        <f t="shared" si="2779"/>
        <v>0</v>
      </c>
      <c r="GJ242" s="31" t="s">
        <v>203</v>
      </c>
    </row>
    <row r="243" spans="1:192" hidden="1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25"/>
        <v>нет минмакс</v>
      </c>
      <c r="Q243" s="95">
        <v>1236</v>
      </c>
      <c r="R243" s="95">
        <f t="shared" si="2752"/>
        <v>86445.84</v>
      </c>
      <c r="S243" s="131">
        <v>1532</v>
      </c>
      <c r="T243" s="131">
        <v>107148.08</v>
      </c>
      <c r="U243" s="131">
        <f t="shared" si="2726"/>
        <v>6</v>
      </c>
      <c r="V243" s="113">
        <f t="shared" si="2753"/>
        <v>1021</v>
      </c>
      <c r="W243" s="113">
        <f t="shared" si="2727"/>
        <v>71408.739999999991</v>
      </c>
      <c r="X243" s="113">
        <f t="shared" si="2728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29"/>
        <v>0</v>
      </c>
      <c r="AF243" s="95">
        <f t="shared" si="2730"/>
        <v>0</v>
      </c>
      <c r="AG243" s="114">
        <v>0</v>
      </c>
      <c r="AH243" s="95">
        <f t="shared" si="2754"/>
        <v>1021</v>
      </c>
      <c r="AI243" s="114">
        <f t="shared" si="2731"/>
        <v>71408.739999999991</v>
      </c>
      <c r="AJ243" s="133">
        <f t="shared" si="2755"/>
        <v>137</v>
      </c>
      <c r="AK243" s="133">
        <f t="shared" si="2780"/>
        <v>396</v>
      </c>
      <c r="AL243" s="133">
        <f t="shared" si="2756"/>
        <v>780</v>
      </c>
      <c r="AM243" s="133">
        <f t="shared" si="2757"/>
        <v>0</v>
      </c>
      <c r="AN243" s="133" t="str">
        <f t="shared" si="2732"/>
        <v>нет оборота</v>
      </c>
      <c r="AO243" s="133" t="str">
        <f t="shared" si="2733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34"/>
        <v>Нет планов</v>
      </c>
      <c r="AW243" s="117">
        <f t="shared" si="2735"/>
        <v>71408.739999999991</v>
      </c>
      <c r="AX243" s="14"/>
      <c r="AY243" s="25">
        <f t="shared" si="2736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37"/>
        <v>0</v>
      </c>
      <c r="BG243" s="32">
        <v>0</v>
      </c>
      <c r="BH243" s="32">
        <f t="shared" si="2738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39"/>
        <v>0</v>
      </c>
      <c r="BR243" s="95">
        <f t="shared" si="2740"/>
        <v>1021</v>
      </c>
      <c r="BS243" s="133">
        <f t="shared" si="2781"/>
        <v>1021</v>
      </c>
      <c r="BT243" s="133">
        <f t="shared" si="2781"/>
        <v>1021</v>
      </c>
      <c r="BU243" s="133">
        <f t="shared" si="2781"/>
        <v>1021</v>
      </c>
      <c r="BV243" s="133">
        <f t="shared" si="2781"/>
        <v>1021</v>
      </c>
      <c r="BW243" s="133">
        <f t="shared" si="2781"/>
        <v>1021</v>
      </c>
      <c r="BX243" s="133">
        <f t="shared" si="2786"/>
        <v>1021</v>
      </c>
      <c r="BY243" s="133">
        <f t="shared" si="2786"/>
        <v>1021</v>
      </c>
      <c r="BZ243" s="133">
        <f t="shared" si="2786"/>
        <v>1021</v>
      </c>
      <c r="CA243" s="133">
        <f t="shared" si="2786"/>
        <v>1021</v>
      </c>
      <c r="CB243" s="133">
        <f t="shared" si="2786"/>
        <v>1021</v>
      </c>
      <c r="CC243" s="133">
        <f t="shared" si="2786"/>
        <v>1021</v>
      </c>
      <c r="CD243" s="133">
        <f t="shared" si="2786"/>
        <v>1021</v>
      </c>
      <c r="CE243" s="133">
        <f t="shared" si="2786"/>
        <v>1021</v>
      </c>
      <c r="CF243" s="133">
        <f t="shared" si="2786"/>
        <v>1021</v>
      </c>
      <c r="CG243" s="133">
        <f t="shared" si="2786"/>
        <v>1021</v>
      </c>
      <c r="CH243" s="133">
        <f t="shared" si="2786"/>
        <v>1021</v>
      </c>
      <c r="CI243" s="133">
        <f t="shared" si="2786"/>
        <v>1021</v>
      </c>
      <c r="CJ243" s="133">
        <f t="shared" si="2786"/>
        <v>1021</v>
      </c>
      <c r="CK243" s="133">
        <f t="shared" si="2786"/>
        <v>1021</v>
      </c>
      <c r="CL243" s="133">
        <f t="shared" si="2786"/>
        <v>1021</v>
      </c>
      <c r="CM243" s="133">
        <f t="shared" si="2786"/>
        <v>1021</v>
      </c>
      <c r="CN243" s="133">
        <f t="shared" si="2786"/>
        <v>1021</v>
      </c>
      <c r="CO243" s="133">
        <f t="shared" si="2786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41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59"/>
        <v>0</v>
      </c>
      <c r="DB243" s="4">
        <f t="shared" si="2760"/>
        <v>0</v>
      </c>
      <c r="DC243" s="4">
        <f t="shared" si="2761"/>
        <v>0</v>
      </c>
      <c r="DD243" s="136">
        <f t="shared" si="2762"/>
        <v>0</v>
      </c>
      <c r="DE243" s="31">
        <v>0</v>
      </c>
      <c r="DF243" s="31">
        <v>30</v>
      </c>
      <c r="DG243" s="31">
        <v>1480</v>
      </c>
      <c r="DH243" s="48">
        <f t="shared" si="2763"/>
        <v>5</v>
      </c>
      <c r="DI243" s="62">
        <v>1891.097</v>
      </c>
      <c r="DJ243" s="62">
        <v>132269.00599999999</v>
      </c>
      <c r="DK243" s="48">
        <f t="shared" si="2742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43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44"/>
        <v>6</v>
      </c>
      <c r="DV243" s="62">
        <v>84</v>
      </c>
      <c r="DW243" s="62">
        <v>5875.2127352297603</v>
      </c>
      <c r="DX243" s="62">
        <f t="shared" si="2764"/>
        <v>0</v>
      </c>
      <c r="DY243" s="62">
        <f t="shared" si="2745"/>
        <v>0</v>
      </c>
      <c r="DZ243" s="48">
        <f t="shared" si="2765"/>
        <v>0</v>
      </c>
      <c r="EA243" s="62">
        <f t="shared" si="2766"/>
        <v>0</v>
      </c>
      <c r="EB243" s="62">
        <f t="shared" si="2746"/>
        <v>0</v>
      </c>
      <c r="EC243" s="48">
        <f t="shared" si="2767"/>
        <v>0</v>
      </c>
      <c r="ED243" s="62">
        <f t="shared" si="2768"/>
        <v>0</v>
      </c>
      <c r="EE243" s="62">
        <f t="shared" si="2747"/>
        <v>0</v>
      </c>
      <c r="EF243" s="48">
        <f t="shared" si="2769"/>
        <v>0</v>
      </c>
      <c r="EG243" s="62">
        <f t="shared" si="2770"/>
        <v>0</v>
      </c>
      <c r="EH243" s="62">
        <f t="shared" si="2748"/>
        <v>0</v>
      </c>
      <c r="EI243" s="48">
        <f t="shared" si="2771"/>
        <v>0</v>
      </c>
      <c r="EJ243" s="62">
        <f t="shared" si="2772"/>
        <v>0</v>
      </c>
      <c r="EK243" s="62">
        <f t="shared" si="2749"/>
        <v>0</v>
      </c>
      <c r="EL243" s="48">
        <f t="shared" si="2773"/>
        <v>0</v>
      </c>
      <c r="EM243" s="62">
        <f t="shared" si="2774"/>
        <v>0</v>
      </c>
      <c r="EN243" s="62">
        <f t="shared" si="2750"/>
        <v>0</v>
      </c>
      <c r="EO243" s="48">
        <f t="shared" si="2775"/>
        <v>0</v>
      </c>
      <c r="EP243" s="62">
        <f t="shared" si="2783"/>
        <v>0</v>
      </c>
      <c r="EQ243" s="62">
        <f t="shared" si="2783"/>
        <v>0</v>
      </c>
      <c r="ER243" s="62">
        <f t="shared" si="2783"/>
        <v>0</v>
      </c>
      <c r="ES243" s="62">
        <f t="shared" si="2784"/>
        <v>0</v>
      </c>
      <c r="ET243" s="62">
        <f t="shared" si="2784"/>
        <v>0</v>
      </c>
      <c r="EU243" s="62">
        <f t="shared" si="2784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51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 t="shared" si="2339"/>
        <v>1</v>
      </c>
      <c r="FS243" s="103" t="b">
        <f t="shared" si="2340"/>
        <v>1</v>
      </c>
      <c r="FT243" s="103" t="b">
        <f t="shared" si="2341"/>
        <v>0</v>
      </c>
      <c r="FU243" s="103" t="b">
        <f t="shared" si="2342"/>
        <v>0</v>
      </c>
      <c r="FV243" s="103" t="b">
        <f t="shared" si="2343"/>
        <v>1</v>
      </c>
      <c r="FW243" s="104" t="b">
        <f t="shared" si="2392"/>
        <v>0</v>
      </c>
      <c r="FX243" s="120" t="b">
        <f t="shared" si="2776"/>
        <v>1</v>
      </c>
      <c r="FY243" s="104" t="s">
        <v>368</v>
      </c>
      <c r="FZ243" s="104" t="b">
        <f t="shared" si="2777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78"/>
        <v>1</v>
      </c>
      <c r="GI243" s="8" t="b">
        <f t="shared" si="2779"/>
        <v>0</v>
      </c>
      <c r="GJ243" s="31" t="s">
        <v>203</v>
      </c>
    </row>
    <row r="244" spans="1:192" ht="30" hidden="1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87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88">Q244*FH244</f>
        <v>83260.329455566418</v>
      </c>
      <c r="S244" s="114">
        <v>669.53399658203125</v>
      </c>
      <c r="T244" s="114">
        <v>100081.94180908203</v>
      </c>
      <c r="U244" s="131">
        <f t="shared" ref="U244:U252" si="2789">IFERROR(ROUNDUP(S244/$EX244,0)*$EY244,0)</f>
        <v>0</v>
      </c>
      <c r="V244" s="115">
        <f t="shared" ref="V244:V252" si="2790">SUM(Z244:AD244)</f>
        <v>6279.824951171875</v>
      </c>
      <c r="W244" s="115">
        <f t="shared" ref="W244:W252" si="2791">V244*FH244</f>
        <v>821024.31411621103</v>
      </c>
      <c r="X244" s="115">
        <f t="shared" ref="X244:X252" si="2792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93">AA244*FH244</f>
        <v>0</v>
      </c>
      <c r="AF244" s="95">
        <f t="shared" ref="AF244:AF252" si="2794">AB244*FH244</f>
        <v>0</v>
      </c>
      <c r="AG244" s="114">
        <v>0</v>
      </c>
      <c r="AH244" s="95">
        <f t="shared" ref="AH244:AH252" si="2795">V244-AG244</f>
        <v>6279.824951171875</v>
      </c>
      <c r="AI244" s="114">
        <f t="shared" ref="AI244:AI252" si="2796">IF(AH244&gt;0,AH244*FH244,0)</f>
        <v>821024.31411621103</v>
      </c>
      <c r="AJ244" s="114">
        <f t="shared" ref="AJ244:AJ252" si="2797">CU244</f>
        <v>19346</v>
      </c>
      <c r="AK244" s="114">
        <f t="shared" si="2780"/>
        <v>51216</v>
      </c>
      <c r="AL244" s="114">
        <f t="shared" ref="AL244:AL252" si="2798">SUM(CP244:CU244)</f>
        <v>138507</v>
      </c>
      <c r="AM244" s="114">
        <f t="shared" ref="AM244:AM252" si="2799">SUM(BK244:BP244)</f>
        <v>0</v>
      </c>
      <c r="AN244" s="133" t="str">
        <f t="shared" ref="AN244:AN252" si="2800">IFERROR(S244/BQ244*30,"нет оборота")</f>
        <v>нет оборота</v>
      </c>
      <c r="AO244" s="133" t="str">
        <f t="shared" ref="AO244:AO252" si="2801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802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803">IF(AT244="Да",W244,0)</f>
        <v>821024.31411621103</v>
      </c>
      <c r="AX244" s="138"/>
      <c r="AY244" s="115">
        <f t="shared" ref="AY244:AY252" si="2804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805">BE244*FH244</f>
        <v>0</v>
      </c>
      <c r="BG244" s="32">
        <v>0</v>
      </c>
      <c r="BH244" s="32">
        <f t="shared" ref="BH244:BH252" si="2806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807">IF(COUNTIF(BK244:BP244,"&gt;0")=0,0,SUM(BK244:BP244)/COUNTIF(BK244:BP244,"&gt;0"))</f>
        <v>0</v>
      </c>
      <c r="BR244" s="95">
        <f t="shared" ref="BR244:BR252" si="2808">IF(OR(Q244=0,SUM(BK244:BP244)=0,V244&gt;Q244),V244-BK244,Q244-BK244)</f>
        <v>6279.824951171875</v>
      </c>
      <c r="BS244" s="133">
        <f t="shared" si="2781"/>
        <v>6279.824951171875</v>
      </c>
      <c r="BT244" s="133">
        <f t="shared" si="2781"/>
        <v>6279.824951171875</v>
      </c>
      <c r="BU244" s="133">
        <f t="shared" si="2781"/>
        <v>6279.824951171875</v>
      </c>
      <c r="BV244" s="133">
        <f t="shared" si="2781"/>
        <v>6279.824951171875</v>
      </c>
      <c r="BW244" s="133">
        <f t="shared" si="2781"/>
        <v>6279.824951171875</v>
      </c>
      <c r="BX244" s="133">
        <f t="shared" ref="BX244:CO244" si="2809">BW244-$BQ244</f>
        <v>6279.824951171875</v>
      </c>
      <c r="BY244" s="133">
        <f t="shared" si="2809"/>
        <v>6279.824951171875</v>
      </c>
      <c r="BZ244" s="133">
        <f t="shared" si="2809"/>
        <v>6279.824951171875</v>
      </c>
      <c r="CA244" s="133">
        <f t="shared" si="2809"/>
        <v>6279.824951171875</v>
      </c>
      <c r="CB244" s="133">
        <f t="shared" si="2809"/>
        <v>6279.824951171875</v>
      </c>
      <c r="CC244" s="133">
        <f t="shared" si="2809"/>
        <v>6279.824951171875</v>
      </c>
      <c r="CD244" s="133">
        <f t="shared" si="2809"/>
        <v>6279.824951171875</v>
      </c>
      <c r="CE244" s="133">
        <f t="shared" si="2809"/>
        <v>6279.824951171875</v>
      </c>
      <c r="CF244" s="133">
        <f t="shared" si="2809"/>
        <v>6279.824951171875</v>
      </c>
      <c r="CG244" s="133">
        <f t="shared" si="2809"/>
        <v>6279.824951171875</v>
      </c>
      <c r="CH244" s="133">
        <f t="shared" si="2809"/>
        <v>6279.824951171875</v>
      </c>
      <c r="CI244" s="133">
        <f t="shared" si="2809"/>
        <v>6279.824951171875</v>
      </c>
      <c r="CJ244" s="133">
        <f t="shared" si="2809"/>
        <v>6279.824951171875</v>
      </c>
      <c r="CK244" s="133">
        <f t="shared" si="2809"/>
        <v>6279.824951171875</v>
      </c>
      <c r="CL244" s="133">
        <f t="shared" si="2809"/>
        <v>6279.824951171875</v>
      </c>
      <c r="CM244" s="133">
        <f t="shared" si="2809"/>
        <v>6279.824951171875</v>
      </c>
      <c r="CN244" s="133">
        <f t="shared" si="2809"/>
        <v>6279.824951171875</v>
      </c>
      <c r="CO244" s="133">
        <f t="shared" si="2809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810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811">IFERROR(CZ244/CY244,0)</f>
        <v>0</v>
      </c>
      <c r="DB244" s="4">
        <f t="shared" ref="DB244:DB252" si="2812">CY244*FH244</f>
        <v>0</v>
      </c>
      <c r="DC244" s="4">
        <f t="shared" ref="DC244:DC252" si="2813">CZ244*FH244</f>
        <v>0</v>
      </c>
      <c r="DD244" s="136">
        <f t="shared" ref="DD244:DD252" si="2814">IFERROR(DC244/DB244,0)</f>
        <v>0</v>
      </c>
      <c r="DE244" s="31">
        <v>0</v>
      </c>
      <c r="DG244" s="31">
        <v>0</v>
      </c>
      <c r="DH244" s="48">
        <f t="shared" ref="DH244:DH252" si="2815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816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817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818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819">$DF244*BK244/30</f>
        <v>0</v>
      </c>
      <c r="DY244" s="62">
        <f t="shared" ref="DY244:DY252" si="2820">DX244*$FH244</f>
        <v>0</v>
      </c>
      <c r="DZ244" s="48">
        <f t="shared" ref="DZ244:DZ252" si="2821">IFERROR(ROUNDUP(DX244/$EX244,0)*$EY244,0)</f>
        <v>0</v>
      </c>
      <c r="EA244" s="62">
        <f t="shared" ref="EA244:EA252" si="2822">$DF244*BL244/30</f>
        <v>0</v>
      </c>
      <c r="EB244" s="62">
        <f t="shared" ref="EB244:EB252" si="2823">EA244*$FH244</f>
        <v>0</v>
      </c>
      <c r="EC244" s="48">
        <f t="shared" ref="EC244:EC252" si="2824">IFERROR(ROUNDUP(EA244/$EX244,0)*$EY244,0)</f>
        <v>0</v>
      </c>
      <c r="ED244" s="62">
        <f t="shared" ref="ED244:ED252" si="2825">$DF244*BM244/30</f>
        <v>0</v>
      </c>
      <c r="EE244" s="62">
        <f t="shared" ref="EE244:EE252" si="2826">ED244*$FH244</f>
        <v>0</v>
      </c>
      <c r="EF244" s="48">
        <f t="shared" ref="EF244:EF252" si="2827">IFERROR(ROUNDUP(ED244/$EX244,0)*$EY244,0)</f>
        <v>0</v>
      </c>
      <c r="EG244" s="62">
        <f t="shared" ref="EG244:EG252" si="2828">$DF244*BN244/30</f>
        <v>0</v>
      </c>
      <c r="EH244" s="62">
        <f t="shared" ref="EH244:EH252" si="2829">EG244*$FH244</f>
        <v>0</v>
      </c>
      <c r="EI244" s="48">
        <f t="shared" ref="EI244:EI252" si="2830">IFERROR(ROUNDUP(EG244/$EX244,0)*$EY244,0)</f>
        <v>0</v>
      </c>
      <c r="EJ244" s="62">
        <f t="shared" ref="EJ244:EJ252" si="2831">$DF244*BO244/30</f>
        <v>0</v>
      </c>
      <c r="EK244" s="62">
        <f t="shared" ref="EK244:EK252" si="2832">EJ244*$FH244</f>
        <v>0</v>
      </c>
      <c r="EL244" s="48">
        <f t="shared" ref="EL244:EL252" si="2833">IFERROR(ROUNDUP(EJ244/$EX244,0)*$EY244,0)</f>
        <v>0</v>
      </c>
      <c r="EM244" s="62">
        <f t="shared" ref="EM244:EM252" si="2834">$DF244*BP244/30</f>
        <v>0</v>
      </c>
      <c r="EN244" s="62">
        <f t="shared" ref="EN244:EN252" si="2835">EM244*$FH244</f>
        <v>0</v>
      </c>
      <c r="EO244" s="48">
        <f t="shared" ref="EO244:EO252" si="2836">IFERROR(ROUNDUP(EM244/$EX244,0)*$EY244,0)</f>
        <v>0</v>
      </c>
      <c r="EP244" s="62">
        <f t="shared" si="2783"/>
        <v>0</v>
      </c>
      <c r="EQ244" s="62">
        <f t="shared" si="2783"/>
        <v>0</v>
      </c>
      <c r="ER244" s="62">
        <f t="shared" si="2783"/>
        <v>0</v>
      </c>
      <c r="ES244" s="62">
        <f t="shared" si="2784"/>
        <v>0</v>
      </c>
      <c r="ET244" s="62">
        <f t="shared" si="2784"/>
        <v>0</v>
      </c>
      <c r="EU244" s="62">
        <f t="shared" si="2784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37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 t="shared" si="2339"/>
        <v>1</v>
      </c>
      <c r="FS244" s="120" t="b">
        <f t="shared" si="2340"/>
        <v>1</v>
      </c>
      <c r="FT244" s="120" t="b">
        <f t="shared" si="2341"/>
        <v>1</v>
      </c>
      <c r="FU244" s="120" t="b">
        <f t="shared" si="2342"/>
        <v>1</v>
      </c>
      <c r="FV244" s="120" t="b">
        <f t="shared" si="2343"/>
        <v>1</v>
      </c>
      <c r="FW244" s="104" t="b">
        <f t="shared" si="2392"/>
        <v>0</v>
      </c>
      <c r="FX244" s="120" t="b">
        <f t="shared" ref="FX244:FX252" si="2838">EXACT(FQ244,BI244)</f>
        <v>1</v>
      </c>
      <c r="FY244" s="104" t="s">
        <v>368</v>
      </c>
      <c r="FZ244" s="104" t="b">
        <f t="shared" ref="FZ244:FZ252" si="2839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40">EXACT(GD244,C244)</f>
        <v>1</v>
      </c>
      <c r="GI244" s="8" t="b">
        <f t="shared" ref="GI244:GI252" si="2841">EXACT(GG244,G244)</f>
        <v>0</v>
      </c>
      <c r="GJ244" s="31" t="s">
        <v>203</v>
      </c>
    </row>
    <row r="245" spans="1:192" hidden="1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87"/>
        <v>меньше мин</v>
      </c>
      <c r="Q245" s="95">
        <v>4533</v>
      </c>
      <c r="R245" s="95">
        <f t="shared" si="2788"/>
        <v>99227.37</v>
      </c>
      <c r="S245" s="131">
        <v>4396</v>
      </c>
      <c r="T245" s="131">
        <v>96228.44</v>
      </c>
      <c r="U245" s="131">
        <f t="shared" si="2789"/>
        <v>5</v>
      </c>
      <c r="V245" s="113">
        <f t="shared" si="2790"/>
        <v>19913</v>
      </c>
      <c r="W245" s="113">
        <f t="shared" si="2791"/>
        <v>435895.57</v>
      </c>
      <c r="X245" s="113">
        <f t="shared" si="2792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93"/>
        <v>0</v>
      </c>
      <c r="AF245" s="95">
        <f t="shared" si="2794"/>
        <v>0</v>
      </c>
      <c r="AG245" s="114">
        <v>0</v>
      </c>
      <c r="AH245" s="95">
        <f t="shared" si="2795"/>
        <v>19913</v>
      </c>
      <c r="AI245" s="114">
        <f t="shared" si="2796"/>
        <v>435895.57</v>
      </c>
      <c r="AJ245" s="133">
        <f t="shared" si="2797"/>
        <v>11759</v>
      </c>
      <c r="AK245" s="133">
        <f t="shared" ref="AK245:AK252" si="2842">SUM(CS245:CU245)</f>
        <v>34119</v>
      </c>
      <c r="AL245" s="133">
        <f t="shared" si="2798"/>
        <v>68390</v>
      </c>
      <c r="AM245" s="133">
        <f t="shared" si="2799"/>
        <v>89434.46</v>
      </c>
      <c r="AN245" s="133">
        <f t="shared" si="2800"/>
        <v>8.8475963292001758</v>
      </c>
      <c r="AO245" s="133" t="str">
        <f t="shared" si="2801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802"/>
        <v>0-02</v>
      </c>
      <c r="AW245" s="117">
        <f t="shared" si="2803"/>
        <v>0</v>
      </c>
      <c r="AX245" s="14"/>
      <c r="AY245" s="25">
        <f t="shared" si="2804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805"/>
        <v>0</v>
      </c>
      <c r="BG245" s="32">
        <v>0</v>
      </c>
      <c r="BH245" s="32">
        <f t="shared" si="2806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807"/>
        <v>14905.743333333334</v>
      </c>
      <c r="BR245" s="95">
        <f t="shared" si="2808"/>
        <v>5203.01</v>
      </c>
      <c r="BS245" s="133">
        <f t="shared" ref="BS245:BW250" si="2843">BR245-BL245</f>
        <v>-9608.9599999999991</v>
      </c>
      <c r="BT245" s="133">
        <f t="shared" si="2843"/>
        <v>-24670.41</v>
      </c>
      <c r="BU245" s="133">
        <f t="shared" si="2843"/>
        <v>-39731.86</v>
      </c>
      <c r="BV245" s="133">
        <f t="shared" si="2843"/>
        <v>-54626.66</v>
      </c>
      <c r="BW245" s="133">
        <f t="shared" si="2843"/>
        <v>-69521.460000000006</v>
      </c>
      <c r="BX245" s="133">
        <f t="shared" ref="BX245:CO248" si="2844">BW245-$BQ245</f>
        <v>-84427.203333333338</v>
      </c>
      <c r="BY245" s="133">
        <f t="shared" si="2844"/>
        <v>-99332.94666666667</v>
      </c>
      <c r="BZ245" s="133">
        <f t="shared" si="2844"/>
        <v>-114238.69</v>
      </c>
      <c r="CA245" s="133">
        <f t="shared" si="2844"/>
        <v>-129144.43333333333</v>
      </c>
      <c r="CB245" s="133">
        <f t="shared" si="2844"/>
        <v>-144050.17666666667</v>
      </c>
      <c r="CC245" s="133">
        <f t="shared" si="2844"/>
        <v>-158955.92000000001</v>
      </c>
      <c r="CD245" s="133">
        <f t="shared" si="2844"/>
        <v>-173861.66333333336</v>
      </c>
      <c r="CE245" s="133">
        <f t="shared" si="2844"/>
        <v>-188767.40666666671</v>
      </c>
      <c r="CF245" s="133">
        <f t="shared" si="2844"/>
        <v>-203673.15000000005</v>
      </c>
      <c r="CG245" s="133">
        <f t="shared" si="2844"/>
        <v>-218578.8933333334</v>
      </c>
      <c r="CH245" s="133">
        <f t="shared" si="2844"/>
        <v>-233484.63666666675</v>
      </c>
      <c r="CI245" s="133">
        <f t="shared" si="2844"/>
        <v>-248390.38000000009</v>
      </c>
      <c r="CJ245" s="133">
        <f t="shared" si="2844"/>
        <v>-263296.12333333341</v>
      </c>
      <c r="CK245" s="133">
        <f t="shared" si="2844"/>
        <v>-278201.86666666676</v>
      </c>
      <c r="CL245" s="133">
        <f t="shared" si="2844"/>
        <v>-293107.6100000001</v>
      </c>
      <c r="CM245" s="133">
        <f t="shared" si="2844"/>
        <v>-308013.35333333345</v>
      </c>
      <c r="CN245" s="133">
        <f t="shared" si="2844"/>
        <v>-322919.0966666668</v>
      </c>
      <c r="CO245" s="133">
        <f t="shared" si="2844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810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811"/>
        <v>0</v>
      </c>
      <c r="DB245" s="4">
        <f t="shared" si="2812"/>
        <v>0</v>
      </c>
      <c r="DC245" s="4">
        <f t="shared" si="2813"/>
        <v>0</v>
      </c>
      <c r="DD245" s="136">
        <f t="shared" si="2814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815"/>
        <v>0</v>
      </c>
      <c r="DI245" s="62">
        <v>7505.5349999999999</v>
      </c>
      <c r="DJ245" s="62">
        <v>164219.75099999999</v>
      </c>
      <c r="DK245" s="48">
        <f t="shared" si="2816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817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818"/>
        <v>14</v>
      </c>
      <c r="DV245" s="62">
        <v>13577.602999999999</v>
      </c>
      <c r="DW245" s="62">
        <v>297021.86374913913</v>
      </c>
      <c r="DX245" s="62">
        <f t="shared" si="2819"/>
        <v>22064.985000000001</v>
      </c>
      <c r="DY245" s="62">
        <f t="shared" si="2820"/>
        <v>483002.52165000001</v>
      </c>
      <c r="DZ245" s="48">
        <f t="shared" si="2821"/>
        <v>22</v>
      </c>
      <c r="EA245" s="62">
        <f t="shared" si="2822"/>
        <v>22217.955000000002</v>
      </c>
      <c r="EB245" s="62">
        <f t="shared" si="2823"/>
        <v>486351.03495000006</v>
      </c>
      <c r="EC245" s="48">
        <f t="shared" si="2824"/>
        <v>22</v>
      </c>
      <c r="ED245" s="62">
        <f t="shared" si="2825"/>
        <v>22592.174999999999</v>
      </c>
      <c r="EE245" s="62">
        <f t="shared" si="2826"/>
        <v>494542.71074999997</v>
      </c>
      <c r="EF245" s="48">
        <f t="shared" si="2827"/>
        <v>22</v>
      </c>
      <c r="EG245" s="62">
        <f t="shared" si="2828"/>
        <v>22592.174999999999</v>
      </c>
      <c r="EH245" s="62">
        <f t="shared" si="2829"/>
        <v>494542.71074999997</v>
      </c>
      <c r="EI245" s="48">
        <f t="shared" si="2830"/>
        <v>22</v>
      </c>
      <c r="EJ245" s="62">
        <f t="shared" si="2831"/>
        <v>22342.2</v>
      </c>
      <c r="EK245" s="62">
        <f t="shared" si="2832"/>
        <v>489070.75800000003</v>
      </c>
      <c r="EL245" s="48">
        <f t="shared" si="2833"/>
        <v>22</v>
      </c>
      <c r="EM245" s="62">
        <f t="shared" si="2834"/>
        <v>22342.2</v>
      </c>
      <c r="EN245" s="62">
        <f t="shared" si="2835"/>
        <v>489070.75800000003</v>
      </c>
      <c r="EO245" s="48">
        <f t="shared" si="2836"/>
        <v>22</v>
      </c>
      <c r="EP245" s="62">
        <f t="shared" si="2783"/>
        <v>322001.68109999999</v>
      </c>
      <c r="EQ245" s="62">
        <f t="shared" si="2783"/>
        <v>324234.0233</v>
      </c>
      <c r="ER245" s="62">
        <f t="shared" si="2783"/>
        <v>329695.14050000004</v>
      </c>
      <c r="ES245" s="62">
        <f t="shared" si="2784"/>
        <v>329695.14050000004</v>
      </c>
      <c r="ET245" s="62">
        <f t="shared" si="2784"/>
        <v>326047.17200000002</v>
      </c>
      <c r="EU245" s="62">
        <f t="shared" si="2784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37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 t="shared" si="2339"/>
        <v>0</v>
      </c>
      <c r="FS245" s="103" t="b">
        <f t="shared" si="2340"/>
        <v>0</v>
      </c>
      <c r="FT245" s="103" t="b">
        <f t="shared" si="2341"/>
        <v>0</v>
      </c>
      <c r="FU245" s="103" t="b">
        <f t="shared" si="2342"/>
        <v>0</v>
      </c>
      <c r="FV245" s="103" t="b">
        <f t="shared" si="2343"/>
        <v>1</v>
      </c>
      <c r="FW245" s="104" t="b">
        <f t="shared" si="2392"/>
        <v>0</v>
      </c>
      <c r="FX245" s="120" t="b">
        <f t="shared" si="2838"/>
        <v>1</v>
      </c>
      <c r="FY245" s="104" t="s">
        <v>368</v>
      </c>
      <c r="FZ245" s="104" t="b">
        <f t="shared" si="2839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40"/>
        <v>1</v>
      </c>
      <c r="GI245" s="8" t="b">
        <f t="shared" si="2841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87"/>
        <v>в диапазоне</v>
      </c>
      <c r="Q246" s="95">
        <v>25</v>
      </c>
      <c r="R246" s="95">
        <f t="shared" si="2788"/>
        <v>95011</v>
      </c>
      <c r="S246" s="131">
        <v>25</v>
      </c>
      <c r="T246" s="131">
        <v>95011</v>
      </c>
      <c r="U246" s="131">
        <f t="shared" si="2789"/>
        <v>1.5</v>
      </c>
      <c r="V246" s="113">
        <f t="shared" si="2790"/>
        <v>25</v>
      </c>
      <c r="W246" s="113">
        <f t="shared" si="2791"/>
        <v>95011</v>
      </c>
      <c r="X246" s="113">
        <f t="shared" si="2792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93"/>
        <v>0</v>
      </c>
      <c r="AF246" s="95">
        <f t="shared" si="2794"/>
        <v>0</v>
      </c>
      <c r="AG246" s="114">
        <v>0</v>
      </c>
      <c r="AH246" s="95">
        <f t="shared" si="2795"/>
        <v>25</v>
      </c>
      <c r="AI246" s="114">
        <f t="shared" si="2796"/>
        <v>95011</v>
      </c>
      <c r="AJ246" s="133">
        <f t="shared" si="2797"/>
        <v>0</v>
      </c>
      <c r="AK246" s="133">
        <f t="shared" si="2842"/>
        <v>0</v>
      </c>
      <c r="AL246" s="133">
        <f t="shared" si="2798"/>
        <v>0</v>
      </c>
      <c r="AM246" s="133">
        <f t="shared" si="2799"/>
        <v>0</v>
      </c>
      <c r="AN246" s="133" t="str">
        <f t="shared" si="2800"/>
        <v>нет оборота</v>
      </c>
      <c r="AO246" s="133" t="str">
        <f t="shared" si="2801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802"/>
        <v>Нет планов</v>
      </c>
      <c r="AW246" s="117">
        <f t="shared" si="2803"/>
        <v>95011</v>
      </c>
      <c r="AX246" s="14">
        <f>MONTH(BC246)-6</f>
        <v>3</v>
      </c>
      <c r="AY246" s="25">
        <f t="shared" si="2804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805"/>
        <v>0</v>
      </c>
      <c r="BG246" s="32">
        <v>0</v>
      </c>
      <c r="BH246" s="32">
        <f t="shared" si="2806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807"/>
        <v>0</v>
      </c>
      <c r="BR246" s="95">
        <f t="shared" si="2808"/>
        <v>25</v>
      </c>
      <c r="BS246" s="133">
        <f t="shared" si="2843"/>
        <v>25</v>
      </c>
      <c r="BT246" s="133">
        <f t="shared" si="2843"/>
        <v>25</v>
      </c>
      <c r="BU246" s="133">
        <f t="shared" si="2843"/>
        <v>25</v>
      </c>
      <c r="BV246" s="133">
        <f t="shared" si="2843"/>
        <v>25</v>
      </c>
      <c r="BW246" s="133">
        <f t="shared" si="2843"/>
        <v>25</v>
      </c>
      <c r="BX246" s="133">
        <f t="shared" si="2844"/>
        <v>25</v>
      </c>
      <c r="BY246" s="133">
        <f t="shared" si="2844"/>
        <v>25</v>
      </c>
      <c r="BZ246" s="133">
        <f t="shared" si="2844"/>
        <v>25</v>
      </c>
      <c r="CA246" s="133">
        <f t="shared" si="2844"/>
        <v>25</v>
      </c>
      <c r="CB246" s="133">
        <f t="shared" si="2844"/>
        <v>25</v>
      </c>
      <c r="CC246" s="133">
        <f t="shared" si="2844"/>
        <v>25</v>
      </c>
      <c r="CD246" s="133">
        <f t="shared" si="2844"/>
        <v>25</v>
      </c>
      <c r="CE246" s="133">
        <f t="shared" si="2844"/>
        <v>25</v>
      </c>
      <c r="CF246" s="133">
        <f t="shared" si="2844"/>
        <v>25</v>
      </c>
      <c r="CG246" s="133">
        <f t="shared" si="2844"/>
        <v>25</v>
      </c>
      <c r="CH246" s="133">
        <f t="shared" si="2844"/>
        <v>25</v>
      </c>
      <c r="CI246" s="133">
        <f t="shared" si="2844"/>
        <v>25</v>
      </c>
      <c r="CJ246" s="133">
        <f t="shared" si="2844"/>
        <v>25</v>
      </c>
      <c r="CK246" s="133">
        <f t="shared" si="2844"/>
        <v>25</v>
      </c>
      <c r="CL246" s="133">
        <f t="shared" si="2844"/>
        <v>25</v>
      </c>
      <c r="CM246" s="133">
        <f t="shared" si="2844"/>
        <v>25</v>
      </c>
      <c r="CN246" s="133">
        <f t="shared" si="2844"/>
        <v>25</v>
      </c>
      <c r="CO246" s="133">
        <f t="shared" si="2844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810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811"/>
        <v>0</v>
      </c>
      <c r="DB246" s="4">
        <f t="shared" si="2812"/>
        <v>0</v>
      </c>
      <c r="DC246" s="4">
        <f t="shared" si="2813"/>
        <v>0</v>
      </c>
      <c r="DD246" s="136">
        <f t="shared" si="2814"/>
        <v>0</v>
      </c>
      <c r="DE246" s="31">
        <v>0</v>
      </c>
      <c r="DF246" s="31">
        <v>30</v>
      </c>
      <c r="DG246" s="31">
        <v>0</v>
      </c>
      <c r="DH246" s="48">
        <f t="shared" si="2815"/>
        <v>0</v>
      </c>
      <c r="DI246" s="62">
        <v>25</v>
      </c>
      <c r="DJ246" s="62">
        <v>95010.93</v>
      </c>
      <c r="DK246" s="48">
        <f t="shared" si="2816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817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818"/>
        <v>1.5</v>
      </c>
      <c r="DV246" s="62">
        <v>0</v>
      </c>
      <c r="DW246" s="62">
        <v>0</v>
      </c>
      <c r="DX246" s="62">
        <f t="shared" si="2819"/>
        <v>0</v>
      </c>
      <c r="DY246" s="62">
        <f t="shared" si="2820"/>
        <v>0</v>
      </c>
      <c r="DZ246" s="48">
        <f t="shared" si="2821"/>
        <v>0</v>
      </c>
      <c r="EA246" s="62">
        <f t="shared" si="2822"/>
        <v>0</v>
      </c>
      <c r="EB246" s="62">
        <f t="shared" si="2823"/>
        <v>0</v>
      </c>
      <c r="EC246" s="48">
        <f t="shared" si="2824"/>
        <v>0</v>
      </c>
      <c r="ED246" s="62">
        <f t="shared" si="2825"/>
        <v>0</v>
      </c>
      <c r="EE246" s="62">
        <f t="shared" si="2826"/>
        <v>0</v>
      </c>
      <c r="EF246" s="48">
        <f t="shared" si="2827"/>
        <v>0</v>
      </c>
      <c r="EG246" s="62">
        <f t="shared" si="2828"/>
        <v>0</v>
      </c>
      <c r="EH246" s="62">
        <f t="shared" si="2829"/>
        <v>0</v>
      </c>
      <c r="EI246" s="48">
        <f t="shared" si="2830"/>
        <v>0</v>
      </c>
      <c r="EJ246" s="62">
        <f t="shared" si="2831"/>
        <v>0</v>
      </c>
      <c r="EK246" s="62">
        <f t="shared" si="2832"/>
        <v>0</v>
      </c>
      <c r="EL246" s="48">
        <f t="shared" si="2833"/>
        <v>0</v>
      </c>
      <c r="EM246" s="62">
        <f t="shared" si="2834"/>
        <v>0</v>
      </c>
      <c r="EN246" s="62">
        <f t="shared" si="2835"/>
        <v>0</v>
      </c>
      <c r="EO246" s="48">
        <f t="shared" si="2836"/>
        <v>0</v>
      </c>
      <c r="EP246" s="62">
        <f t="shared" ref="EP246:EU252" si="2845">BK246*$FH246</f>
        <v>0</v>
      </c>
      <c r="EQ246" s="62">
        <f t="shared" si="2845"/>
        <v>0</v>
      </c>
      <c r="ER246" s="62">
        <f t="shared" si="2845"/>
        <v>0</v>
      </c>
      <c r="ES246" s="62">
        <f t="shared" si="2845"/>
        <v>0</v>
      </c>
      <c r="ET246" s="62">
        <f t="shared" si="2845"/>
        <v>0</v>
      </c>
      <c r="EU246" s="62">
        <f t="shared" si="2845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37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 t="shared" si="2339"/>
        <v>1</v>
      </c>
      <c r="FS246" s="103" t="b">
        <f t="shared" si="2340"/>
        <v>1</v>
      </c>
      <c r="FT246" s="103" t="b">
        <f t="shared" si="2341"/>
        <v>1</v>
      </c>
      <c r="FU246" s="103" t="b">
        <f t="shared" si="2342"/>
        <v>0</v>
      </c>
      <c r="FV246" s="103" t="b">
        <f t="shared" si="2343"/>
        <v>1</v>
      </c>
      <c r="FW246" s="104" t="b">
        <f t="shared" si="2392"/>
        <v>0</v>
      </c>
      <c r="FX246" s="120" t="b">
        <f t="shared" si="2838"/>
        <v>1</v>
      </c>
      <c r="FY246" s="104" t="s">
        <v>485</v>
      </c>
      <c r="FZ246" s="104" t="b">
        <f t="shared" si="2839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40"/>
        <v>1</v>
      </c>
      <c r="GI246" s="8" t="b">
        <f t="shared" si="2841"/>
        <v>0</v>
      </c>
      <c r="GJ246" s="31" t="s">
        <v>203</v>
      </c>
    </row>
    <row r="247" spans="1:192" ht="30" hidden="1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87"/>
        <v>нет минмакс</v>
      </c>
      <c r="Q247" s="95">
        <v>754.65100002288818</v>
      </c>
      <c r="R247" s="95">
        <f t="shared" si="2788"/>
        <v>110314.8831833458</v>
      </c>
      <c r="S247" s="114">
        <v>649</v>
      </c>
      <c r="T247" s="114">
        <v>95461.41</v>
      </c>
      <c r="U247" s="131">
        <f t="shared" si="2789"/>
        <v>0</v>
      </c>
      <c r="V247" s="115">
        <f t="shared" si="2790"/>
        <v>173.31300354003906</v>
      </c>
      <c r="W247" s="115">
        <f t="shared" si="2791"/>
        <v>25334.894857482912</v>
      </c>
      <c r="X247" s="115">
        <f t="shared" si="2792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93"/>
        <v>0</v>
      </c>
      <c r="AF247" s="95">
        <f t="shared" si="2794"/>
        <v>0</v>
      </c>
      <c r="AG247" s="114">
        <v>0</v>
      </c>
      <c r="AH247" s="95">
        <f t="shared" si="2795"/>
        <v>173.31300354003906</v>
      </c>
      <c r="AI247" s="114">
        <f t="shared" si="2796"/>
        <v>25334.894857482912</v>
      </c>
      <c r="AJ247" s="114">
        <f t="shared" si="2797"/>
        <v>25</v>
      </c>
      <c r="AK247" s="114">
        <f t="shared" si="2842"/>
        <v>1006</v>
      </c>
      <c r="AL247" s="114">
        <f t="shared" si="2798"/>
        <v>2205</v>
      </c>
      <c r="AM247" s="114">
        <f t="shared" si="2799"/>
        <v>0</v>
      </c>
      <c r="AN247" s="133" t="str">
        <f t="shared" si="2800"/>
        <v>нет оборота</v>
      </c>
      <c r="AO247" s="133" t="str">
        <f t="shared" si="2801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802"/>
        <v>Нет планов</v>
      </c>
      <c r="AW247" s="126">
        <f t="shared" si="2803"/>
        <v>25334.894857482912</v>
      </c>
      <c r="AX247" s="138"/>
      <c r="AY247" s="115">
        <f t="shared" si="2804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805"/>
        <v>0</v>
      </c>
      <c r="BG247" s="32">
        <v>0</v>
      </c>
      <c r="BH247" s="32">
        <f t="shared" si="2806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807"/>
        <v>0</v>
      </c>
      <c r="BR247" s="95">
        <f t="shared" si="2808"/>
        <v>173.31300354003906</v>
      </c>
      <c r="BS247" s="133">
        <f t="shared" si="2843"/>
        <v>173.31300354003906</v>
      </c>
      <c r="BT247" s="133">
        <f t="shared" si="2843"/>
        <v>173.31300354003906</v>
      </c>
      <c r="BU247" s="133">
        <f t="shared" si="2843"/>
        <v>173.31300354003906</v>
      </c>
      <c r="BV247" s="133">
        <f t="shared" si="2843"/>
        <v>173.31300354003906</v>
      </c>
      <c r="BW247" s="133">
        <f t="shared" si="2843"/>
        <v>173.31300354003906</v>
      </c>
      <c r="BX247" s="133">
        <f t="shared" si="2844"/>
        <v>173.31300354003906</v>
      </c>
      <c r="BY247" s="133">
        <f t="shared" si="2844"/>
        <v>173.31300354003906</v>
      </c>
      <c r="BZ247" s="133">
        <f t="shared" si="2844"/>
        <v>173.31300354003906</v>
      </c>
      <c r="CA247" s="133">
        <f t="shared" si="2844"/>
        <v>173.31300354003906</v>
      </c>
      <c r="CB247" s="133">
        <f t="shared" si="2844"/>
        <v>173.31300354003906</v>
      </c>
      <c r="CC247" s="133">
        <f t="shared" si="2844"/>
        <v>173.31300354003906</v>
      </c>
      <c r="CD247" s="133">
        <f t="shared" si="2844"/>
        <v>173.31300354003906</v>
      </c>
      <c r="CE247" s="133">
        <f t="shared" si="2844"/>
        <v>173.31300354003906</v>
      </c>
      <c r="CF247" s="133">
        <f t="shared" si="2844"/>
        <v>173.31300354003906</v>
      </c>
      <c r="CG247" s="133">
        <f t="shared" si="2844"/>
        <v>173.31300354003906</v>
      </c>
      <c r="CH247" s="133">
        <f t="shared" si="2844"/>
        <v>173.31300354003906</v>
      </c>
      <c r="CI247" s="133">
        <f t="shared" si="2844"/>
        <v>173.31300354003906</v>
      </c>
      <c r="CJ247" s="133">
        <f t="shared" si="2844"/>
        <v>173.31300354003906</v>
      </c>
      <c r="CK247" s="133">
        <f t="shared" si="2844"/>
        <v>173.31300354003906</v>
      </c>
      <c r="CL247" s="133">
        <f t="shared" si="2844"/>
        <v>173.31300354003906</v>
      </c>
      <c r="CM247" s="133">
        <f t="shared" si="2844"/>
        <v>173.31300354003906</v>
      </c>
      <c r="CN247" s="133">
        <f t="shared" si="2844"/>
        <v>173.31300354003906</v>
      </c>
      <c r="CO247" s="133">
        <f t="shared" si="2844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810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811"/>
        <v>0</v>
      </c>
      <c r="DB247" s="4">
        <f t="shared" si="2812"/>
        <v>0</v>
      </c>
      <c r="DC247" s="4">
        <f t="shared" si="2813"/>
        <v>0</v>
      </c>
      <c r="DD247" s="136">
        <f t="shared" si="2814"/>
        <v>0</v>
      </c>
      <c r="DE247" s="31">
        <v>0</v>
      </c>
      <c r="DG247" s="31">
        <v>0</v>
      </c>
      <c r="DH247" s="48">
        <f t="shared" si="2815"/>
        <v>0</v>
      </c>
      <c r="DI247" s="62">
        <v>985.40899999999999</v>
      </c>
      <c r="DJ247" s="62">
        <v>143446.66800000001</v>
      </c>
      <c r="DK247" s="48">
        <f t="shared" si="2816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817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818"/>
        <v>0</v>
      </c>
      <c r="DV247" s="62">
        <v>332.12900000000002</v>
      </c>
      <c r="DW247" s="62">
        <v>48853.662105441792</v>
      </c>
      <c r="DX247" s="62">
        <f t="shared" si="2819"/>
        <v>0</v>
      </c>
      <c r="DY247" s="62">
        <f t="shared" si="2820"/>
        <v>0</v>
      </c>
      <c r="DZ247" s="48">
        <f t="shared" si="2821"/>
        <v>0</v>
      </c>
      <c r="EA247" s="62">
        <f t="shared" si="2822"/>
        <v>0</v>
      </c>
      <c r="EB247" s="62">
        <f t="shared" si="2823"/>
        <v>0</v>
      </c>
      <c r="EC247" s="48">
        <f t="shared" si="2824"/>
        <v>0</v>
      </c>
      <c r="ED247" s="62">
        <f t="shared" si="2825"/>
        <v>0</v>
      </c>
      <c r="EE247" s="62">
        <f t="shared" si="2826"/>
        <v>0</v>
      </c>
      <c r="EF247" s="48">
        <f t="shared" si="2827"/>
        <v>0</v>
      </c>
      <c r="EG247" s="62">
        <f t="shared" si="2828"/>
        <v>0</v>
      </c>
      <c r="EH247" s="62">
        <f t="shared" si="2829"/>
        <v>0</v>
      </c>
      <c r="EI247" s="48">
        <f t="shared" si="2830"/>
        <v>0</v>
      </c>
      <c r="EJ247" s="62">
        <f t="shared" si="2831"/>
        <v>0</v>
      </c>
      <c r="EK247" s="62">
        <f t="shared" si="2832"/>
        <v>0</v>
      </c>
      <c r="EL247" s="48">
        <f t="shared" si="2833"/>
        <v>0</v>
      </c>
      <c r="EM247" s="62">
        <f t="shared" si="2834"/>
        <v>0</v>
      </c>
      <c r="EN247" s="62">
        <f t="shared" si="2835"/>
        <v>0</v>
      </c>
      <c r="EO247" s="48">
        <f t="shared" si="2836"/>
        <v>0</v>
      </c>
      <c r="EP247" s="62">
        <f t="shared" si="2845"/>
        <v>0</v>
      </c>
      <c r="EQ247" s="62">
        <f t="shared" si="2845"/>
        <v>0</v>
      </c>
      <c r="ER247" s="62">
        <f t="shared" si="2845"/>
        <v>0</v>
      </c>
      <c r="ES247" s="62">
        <f t="shared" si="2845"/>
        <v>0</v>
      </c>
      <c r="ET247" s="62">
        <f t="shared" si="2845"/>
        <v>0</v>
      </c>
      <c r="EU247" s="62">
        <f t="shared" si="2845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37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 t="shared" si="2339"/>
        <v>1</v>
      </c>
      <c r="FS247" s="120" t="b">
        <f t="shared" si="2340"/>
        <v>1</v>
      </c>
      <c r="FT247" s="120" t="b">
        <f t="shared" si="2341"/>
        <v>1</v>
      </c>
      <c r="FU247" s="120" t="b">
        <f t="shared" si="2342"/>
        <v>1</v>
      </c>
      <c r="FV247" s="120" t="b">
        <f t="shared" si="2343"/>
        <v>1</v>
      </c>
      <c r="FW247" s="104" t="b">
        <f t="shared" si="2392"/>
        <v>0</v>
      </c>
      <c r="FX247" s="120" t="b">
        <f t="shared" si="2838"/>
        <v>1</v>
      </c>
      <c r="FY247" s="104" t="s">
        <v>368</v>
      </c>
      <c r="FZ247" s="104" t="b">
        <f t="shared" si="2839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40"/>
        <v>1</v>
      </c>
      <c r="GI247" s="8" t="b">
        <f t="shared" si="2841"/>
        <v>0</v>
      </c>
      <c r="GJ247" s="31" t="s">
        <v>203</v>
      </c>
    </row>
    <row r="248" spans="1:192" ht="30" hidden="1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87"/>
        <v>нет минмакс</v>
      </c>
      <c r="Q248" s="95">
        <v>300.65798950195313</v>
      </c>
      <c r="R248" s="95">
        <f t="shared" si="2788"/>
        <v>39434.301903076172</v>
      </c>
      <c r="S248" s="114">
        <v>636</v>
      </c>
      <c r="T248" s="114">
        <v>95368.2</v>
      </c>
      <c r="U248" s="131">
        <f t="shared" si="2789"/>
        <v>0</v>
      </c>
      <c r="V248" s="115">
        <f t="shared" si="2790"/>
        <v>683.79501342773438</v>
      </c>
      <c r="W248" s="115">
        <f t="shared" si="2791"/>
        <v>89686.553961181635</v>
      </c>
      <c r="X248" s="115">
        <f t="shared" si="2792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93"/>
        <v>0</v>
      </c>
      <c r="AF248" s="95">
        <f t="shared" si="2794"/>
        <v>0</v>
      </c>
      <c r="AG248" s="114">
        <v>0</v>
      </c>
      <c r="AH248" s="95">
        <f t="shared" si="2795"/>
        <v>683.79501342773438</v>
      </c>
      <c r="AI248" s="114">
        <f t="shared" si="2796"/>
        <v>89686.553961181635</v>
      </c>
      <c r="AJ248" s="114">
        <f t="shared" si="2797"/>
        <v>730</v>
      </c>
      <c r="AK248" s="114">
        <f t="shared" si="2842"/>
        <v>2020</v>
      </c>
      <c r="AL248" s="114">
        <f t="shared" si="2798"/>
        <v>2876</v>
      </c>
      <c r="AM248" s="114">
        <f t="shared" si="2799"/>
        <v>0</v>
      </c>
      <c r="AN248" s="133" t="str">
        <f t="shared" si="2800"/>
        <v>нет оборота</v>
      </c>
      <c r="AO248" s="133" t="str">
        <f t="shared" si="2801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802"/>
        <v>Нет планов</v>
      </c>
      <c r="AW248" s="126">
        <f t="shared" si="2803"/>
        <v>89686.553961181635</v>
      </c>
      <c r="AX248" s="138"/>
      <c r="AY248" s="115">
        <f t="shared" si="2804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805"/>
        <v>0</v>
      </c>
      <c r="BG248" s="32">
        <v>0</v>
      </c>
      <c r="BH248" s="32">
        <f t="shared" si="2806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807"/>
        <v>0</v>
      </c>
      <c r="BR248" s="95">
        <f t="shared" si="2808"/>
        <v>683.79501342773438</v>
      </c>
      <c r="BS248" s="133">
        <f t="shared" si="2843"/>
        <v>683.79501342773438</v>
      </c>
      <c r="BT248" s="133">
        <f t="shared" si="2843"/>
        <v>683.79501342773438</v>
      </c>
      <c r="BU248" s="133">
        <f t="shared" si="2843"/>
        <v>683.79501342773438</v>
      </c>
      <c r="BV248" s="133">
        <f t="shared" si="2843"/>
        <v>683.79501342773438</v>
      </c>
      <c r="BW248" s="133">
        <f t="shared" si="2843"/>
        <v>683.79501342773438</v>
      </c>
      <c r="BX248" s="133">
        <f t="shared" si="2844"/>
        <v>683.79501342773438</v>
      </c>
      <c r="BY248" s="133">
        <f t="shared" si="2844"/>
        <v>683.79501342773438</v>
      </c>
      <c r="BZ248" s="133">
        <f t="shared" si="2844"/>
        <v>683.79501342773438</v>
      </c>
      <c r="CA248" s="133">
        <f t="shared" si="2844"/>
        <v>683.79501342773438</v>
      </c>
      <c r="CB248" s="133">
        <f t="shared" si="2844"/>
        <v>683.79501342773438</v>
      </c>
      <c r="CC248" s="133">
        <f t="shared" si="2844"/>
        <v>683.79501342773438</v>
      </c>
      <c r="CD248" s="133">
        <f t="shared" si="2844"/>
        <v>683.79501342773438</v>
      </c>
      <c r="CE248" s="133">
        <f t="shared" si="2844"/>
        <v>683.79501342773438</v>
      </c>
      <c r="CF248" s="133">
        <f t="shared" si="2844"/>
        <v>683.79501342773438</v>
      </c>
      <c r="CG248" s="133">
        <f t="shared" si="2844"/>
        <v>683.79501342773438</v>
      </c>
      <c r="CH248" s="133">
        <f t="shared" si="2844"/>
        <v>683.79501342773438</v>
      </c>
      <c r="CI248" s="133">
        <f t="shared" si="2844"/>
        <v>683.79501342773438</v>
      </c>
      <c r="CJ248" s="133">
        <f t="shared" si="2844"/>
        <v>683.79501342773438</v>
      </c>
      <c r="CK248" s="133">
        <f t="shared" si="2844"/>
        <v>683.79501342773438</v>
      </c>
      <c r="CL248" s="133">
        <f t="shared" si="2844"/>
        <v>683.79501342773438</v>
      </c>
      <c r="CM248" s="133">
        <f t="shared" si="2844"/>
        <v>683.79501342773438</v>
      </c>
      <c r="CN248" s="133">
        <f t="shared" si="2844"/>
        <v>683.79501342773438</v>
      </c>
      <c r="CO248" s="133">
        <f t="shared" si="2844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810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811"/>
        <v>0</v>
      </c>
      <c r="DB248" s="4">
        <f t="shared" si="2812"/>
        <v>0</v>
      </c>
      <c r="DC248" s="4">
        <f t="shared" si="2813"/>
        <v>0</v>
      </c>
      <c r="DD248" s="136">
        <f t="shared" si="2814"/>
        <v>0</v>
      </c>
      <c r="DE248" s="31">
        <v>0</v>
      </c>
      <c r="DG248" s="31">
        <v>0</v>
      </c>
      <c r="DH248" s="48">
        <f t="shared" si="2815"/>
        <v>0</v>
      </c>
      <c r="DI248" s="62">
        <v>956.80499999999995</v>
      </c>
      <c r="DJ248" s="62">
        <v>139761.878</v>
      </c>
      <c r="DK248" s="48">
        <f t="shared" si="2816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817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818"/>
        <v>0</v>
      </c>
      <c r="DV248" s="62">
        <v>654.00599999999997</v>
      </c>
      <c r="DW248" s="62">
        <v>97412.393216143129</v>
      </c>
      <c r="DX248" s="62">
        <f t="shared" si="2819"/>
        <v>0</v>
      </c>
      <c r="DY248" s="62">
        <f t="shared" si="2820"/>
        <v>0</v>
      </c>
      <c r="DZ248" s="48">
        <f t="shared" si="2821"/>
        <v>0</v>
      </c>
      <c r="EA248" s="62">
        <f t="shared" si="2822"/>
        <v>0</v>
      </c>
      <c r="EB248" s="62">
        <f t="shared" si="2823"/>
        <v>0</v>
      </c>
      <c r="EC248" s="48">
        <f t="shared" si="2824"/>
        <v>0</v>
      </c>
      <c r="ED248" s="62">
        <f t="shared" si="2825"/>
        <v>0</v>
      </c>
      <c r="EE248" s="62">
        <f t="shared" si="2826"/>
        <v>0</v>
      </c>
      <c r="EF248" s="48">
        <f t="shared" si="2827"/>
        <v>0</v>
      </c>
      <c r="EG248" s="62">
        <f t="shared" si="2828"/>
        <v>0</v>
      </c>
      <c r="EH248" s="62">
        <f t="shared" si="2829"/>
        <v>0</v>
      </c>
      <c r="EI248" s="48">
        <f t="shared" si="2830"/>
        <v>0</v>
      </c>
      <c r="EJ248" s="62">
        <f t="shared" si="2831"/>
        <v>0</v>
      </c>
      <c r="EK248" s="62">
        <f t="shared" si="2832"/>
        <v>0</v>
      </c>
      <c r="EL248" s="48">
        <f t="shared" si="2833"/>
        <v>0</v>
      </c>
      <c r="EM248" s="62">
        <f t="shared" si="2834"/>
        <v>0</v>
      </c>
      <c r="EN248" s="62">
        <f t="shared" si="2835"/>
        <v>0</v>
      </c>
      <c r="EO248" s="48">
        <f t="shared" si="2836"/>
        <v>0</v>
      </c>
      <c r="EP248" s="62">
        <f t="shared" si="2845"/>
        <v>0</v>
      </c>
      <c r="EQ248" s="62">
        <f t="shared" si="2845"/>
        <v>0</v>
      </c>
      <c r="ER248" s="62">
        <f t="shared" si="2845"/>
        <v>0</v>
      </c>
      <c r="ES248" s="62">
        <f t="shared" si="2845"/>
        <v>0</v>
      </c>
      <c r="ET248" s="62">
        <f t="shared" si="2845"/>
        <v>0</v>
      </c>
      <c r="EU248" s="62">
        <f t="shared" si="2845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37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 t="shared" si="2339"/>
        <v>1</v>
      </c>
      <c r="FS248" s="120" t="b">
        <f t="shared" si="2340"/>
        <v>1</v>
      </c>
      <c r="FT248" s="120" t="b">
        <f t="shared" si="2341"/>
        <v>1</v>
      </c>
      <c r="FU248" s="120" t="b">
        <f t="shared" si="2342"/>
        <v>1</v>
      </c>
      <c r="FV248" s="120" t="b">
        <f t="shared" si="2343"/>
        <v>1</v>
      </c>
      <c r="FW248" s="104" t="b">
        <f t="shared" si="2392"/>
        <v>0</v>
      </c>
      <c r="FX248" s="120" t="b">
        <f t="shared" si="2838"/>
        <v>1</v>
      </c>
      <c r="FY248" s="104" t="s">
        <v>368</v>
      </c>
      <c r="FZ248" s="104" t="b">
        <f t="shared" si="2839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40"/>
        <v>1</v>
      </c>
      <c r="GI248" s="8" t="b">
        <f t="shared" si="2841"/>
        <v>0</v>
      </c>
      <c r="GJ248" s="31" t="s">
        <v>203</v>
      </c>
    </row>
    <row r="249" spans="1:192" ht="30" hidden="1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87"/>
        <v>нет минмакс</v>
      </c>
      <c r="Q249" s="95">
        <v>1076</v>
      </c>
      <c r="R249" s="95">
        <f t="shared" si="2788"/>
        <v>160905.03999999998</v>
      </c>
      <c r="S249" s="114">
        <v>605</v>
      </c>
      <c r="T249" s="114">
        <v>98112.849999999991</v>
      </c>
      <c r="U249" s="131">
        <f t="shared" si="2789"/>
        <v>0</v>
      </c>
      <c r="V249" s="115">
        <f t="shared" si="2790"/>
        <v>2013.4759521484375</v>
      </c>
      <c r="W249" s="115">
        <f t="shared" si="2791"/>
        <v>301095.19388427731</v>
      </c>
      <c r="X249" s="115">
        <f t="shared" si="2792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93"/>
        <v>0</v>
      </c>
      <c r="AF249" s="95">
        <f t="shared" si="2794"/>
        <v>0</v>
      </c>
      <c r="AG249" s="114">
        <v>0</v>
      </c>
      <c r="AH249" s="95">
        <f t="shared" si="2795"/>
        <v>2013.4759521484375</v>
      </c>
      <c r="AI249" s="114">
        <f t="shared" si="2796"/>
        <v>301095.19388427731</v>
      </c>
      <c r="AJ249" s="114">
        <f t="shared" si="2797"/>
        <v>0</v>
      </c>
      <c r="AK249" s="114">
        <f t="shared" si="2842"/>
        <v>10241</v>
      </c>
      <c r="AL249" s="114">
        <f t="shared" si="2798"/>
        <v>15791</v>
      </c>
      <c r="AM249" s="114">
        <f t="shared" si="2799"/>
        <v>0</v>
      </c>
      <c r="AN249" s="133" t="str">
        <f t="shared" si="2800"/>
        <v>нет оборота</v>
      </c>
      <c r="AO249" s="133" t="str">
        <f t="shared" si="2801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802"/>
        <v>Нет планов</v>
      </c>
      <c r="AW249" s="126">
        <f t="shared" si="2803"/>
        <v>301095.19388427731</v>
      </c>
      <c r="AX249" s="138"/>
      <c r="AY249" s="115">
        <f t="shared" si="2804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805"/>
        <v>0</v>
      </c>
      <c r="BG249" s="32">
        <v>0</v>
      </c>
      <c r="BH249" s="32">
        <f t="shared" si="2806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807"/>
        <v>0</v>
      </c>
      <c r="BR249" s="95">
        <f t="shared" si="2808"/>
        <v>2013.4759521484375</v>
      </c>
      <c r="BS249" s="133">
        <f t="shared" si="2843"/>
        <v>2013.4759521484375</v>
      </c>
      <c r="BT249" s="133">
        <f t="shared" si="2843"/>
        <v>2013.4759521484375</v>
      </c>
      <c r="BU249" s="133">
        <f t="shared" si="2843"/>
        <v>2013.4759521484375</v>
      </c>
      <c r="BV249" s="133">
        <f t="shared" si="2843"/>
        <v>2013.4759521484375</v>
      </c>
      <c r="BW249" s="133">
        <f t="shared" si="2843"/>
        <v>2013.4759521484375</v>
      </c>
      <c r="BX249" s="133">
        <f t="shared" ref="BX249:CO250" si="2846">BW249-$BQ249</f>
        <v>2013.4759521484375</v>
      </c>
      <c r="BY249" s="133">
        <f t="shared" si="2846"/>
        <v>2013.4759521484375</v>
      </c>
      <c r="BZ249" s="133">
        <f t="shared" si="2846"/>
        <v>2013.4759521484375</v>
      </c>
      <c r="CA249" s="133">
        <f t="shared" si="2846"/>
        <v>2013.4759521484375</v>
      </c>
      <c r="CB249" s="133">
        <f t="shared" si="2846"/>
        <v>2013.4759521484375</v>
      </c>
      <c r="CC249" s="133">
        <f t="shared" si="2846"/>
        <v>2013.4759521484375</v>
      </c>
      <c r="CD249" s="133">
        <f t="shared" si="2846"/>
        <v>2013.4759521484375</v>
      </c>
      <c r="CE249" s="133">
        <f t="shared" si="2846"/>
        <v>2013.4759521484375</v>
      </c>
      <c r="CF249" s="133">
        <f t="shared" si="2846"/>
        <v>2013.4759521484375</v>
      </c>
      <c r="CG249" s="133">
        <f t="shared" si="2846"/>
        <v>2013.4759521484375</v>
      </c>
      <c r="CH249" s="133">
        <f t="shared" si="2846"/>
        <v>2013.4759521484375</v>
      </c>
      <c r="CI249" s="133">
        <f t="shared" si="2846"/>
        <v>2013.4759521484375</v>
      </c>
      <c r="CJ249" s="133">
        <f t="shared" si="2846"/>
        <v>2013.4759521484375</v>
      </c>
      <c r="CK249" s="133">
        <f t="shared" si="2846"/>
        <v>2013.4759521484375</v>
      </c>
      <c r="CL249" s="133">
        <f t="shared" si="2846"/>
        <v>2013.4759521484375</v>
      </c>
      <c r="CM249" s="133">
        <f t="shared" si="2846"/>
        <v>2013.4759521484375</v>
      </c>
      <c r="CN249" s="133">
        <f t="shared" si="2846"/>
        <v>2013.4759521484375</v>
      </c>
      <c r="CO249" s="133">
        <f t="shared" si="2846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810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811"/>
        <v>0</v>
      </c>
      <c r="DB249" s="4">
        <f t="shared" si="2812"/>
        <v>0</v>
      </c>
      <c r="DC249" s="4">
        <f t="shared" si="2813"/>
        <v>0</v>
      </c>
      <c r="DD249" s="136">
        <f t="shared" si="2814"/>
        <v>0</v>
      </c>
      <c r="DE249" s="31">
        <v>0</v>
      </c>
      <c r="DG249" s="31">
        <v>0</v>
      </c>
      <c r="DH249" s="48">
        <f t="shared" si="2815"/>
        <v>0</v>
      </c>
      <c r="DI249" s="62">
        <v>398.78899999999999</v>
      </c>
      <c r="DJ249" s="62">
        <v>58884.453999999998</v>
      </c>
      <c r="DK249" s="48">
        <f t="shared" si="2816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817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818"/>
        <v>0</v>
      </c>
      <c r="DV249" s="62">
        <v>0</v>
      </c>
      <c r="DW249" s="62">
        <v>0</v>
      </c>
      <c r="DX249" s="62">
        <f t="shared" si="2819"/>
        <v>0</v>
      </c>
      <c r="DY249" s="62">
        <f t="shared" si="2820"/>
        <v>0</v>
      </c>
      <c r="DZ249" s="48">
        <f t="shared" si="2821"/>
        <v>0</v>
      </c>
      <c r="EA249" s="62">
        <f t="shared" si="2822"/>
        <v>0</v>
      </c>
      <c r="EB249" s="62">
        <f t="shared" si="2823"/>
        <v>0</v>
      </c>
      <c r="EC249" s="48">
        <f t="shared" si="2824"/>
        <v>0</v>
      </c>
      <c r="ED249" s="62">
        <f t="shared" si="2825"/>
        <v>0</v>
      </c>
      <c r="EE249" s="62">
        <f t="shared" si="2826"/>
        <v>0</v>
      </c>
      <c r="EF249" s="48">
        <f t="shared" si="2827"/>
        <v>0</v>
      </c>
      <c r="EG249" s="62">
        <f t="shared" si="2828"/>
        <v>0</v>
      </c>
      <c r="EH249" s="62">
        <f t="shared" si="2829"/>
        <v>0</v>
      </c>
      <c r="EI249" s="48">
        <f t="shared" si="2830"/>
        <v>0</v>
      </c>
      <c r="EJ249" s="62">
        <f t="shared" si="2831"/>
        <v>0</v>
      </c>
      <c r="EK249" s="62">
        <f t="shared" si="2832"/>
        <v>0</v>
      </c>
      <c r="EL249" s="48">
        <f t="shared" si="2833"/>
        <v>0</v>
      </c>
      <c r="EM249" s="62">
        <f t="shared" si="2834"/>
        <v>0</v>
      </c>
      <c r="EN249" s="62">
        <f t="shared" si="2835"/>
        <v>0</v>
      </c>
      <c r="EO249" s="48">
        <f t="shared" si="2836"/>
        <v>0</v>
      </c>
      <c r="EP249" s="62">
        <f t="shared" si="2845"/>
        <v>0</v>
      </c>
      <c r="EQ249" s="62">
        <f t="shared" si="2845"/>
        <v>0</v>
      </c>
      <c r="ER249" s="62">
        <f t="shared" si="2845"/>
        <v>0</v>
      </c>
      <c r="ES249" s="62">
        <f t="shared" si="2845"/>
        <v>0</v>
      </c>
      <c r="ET249" s="62">
        <f t="shared" si="2845"/>
        <v>0</v>
      </c>
      <c r="EU249" s="62">
        <f t="shared" si="2845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37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 t="shared" si="2339"/>
        <v>1</v>
      </c>
      <c r="FS249" s="120" t="b">
        <f t="shared" si="2340"/>
        <v>1</v>
      </c>
      <c r="FT249" s="120" t="b">
        <f t="shared" si="2341"/>
        <v>1</v>
      </c>
      <c r="FU249" s="120" t="b">
        <f t="shared" si="2342"/>
        <v>1</v>
      </c>
      <c r="FV249" s="120" t="b">
        <f t="shared" si="2343"/>
        <v>1</v>
      </c>
      <c r="FW249" s="104" t="b">
        <f t="shared" si="2392"/>
        <v>0</v>
      </c>
      <c r="FX249" s="120" t="b">
        <f t="shared" si="2838"/>
        <v>1</v>
      </c>
      <c r="FY249" s="104" t="s">
        <v>368</v>
      </c>
      <c r="FZ249" s="104" t="b">
        <f t="shared" si="2839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40"/>
        <v>1</v>
      </c>
      <c r="GI249" s="8" t="b">
        <f t="shared" si="2841"/>
        <v>0</v>
      </c>
      <c r="GJ249" s="31" t="s">
        <v>203</v>
      </c>
    </row>
    <row r="250" spans="1:192" hidden="1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87"/>
        <v>нет минмакс</v>
      </c>
      <c r="Q250" s="95">
        <v>101</v>
      </c>
      <c r="R250" s="95">
        <f t="shared" si="2788"/>
        <v>289435.69999999995</v>
      </c>
      <c r="S250" s="131">
        <v>31</v>
      </c>
      <c r="T250" s="131">
        <v>90444.05</v>
      </c>
      <c r="U250" s="131">
        <f t="shared" si="2789"/>
        <v>12</v>
      </c>
      <c r="V250" s="113">
        <f t="shared" si="2790"/>
        <v>101</v>
      </c>
      <c r="W250" s="113">
        <f t="shared" si="2791"/>
        <v>289435.69999999995</v>
      </c>
      <c r="X250" s="113">
        <f t="shared" si="2792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93"/>
        <v>0</v>
      </c>
      <c r="AF250" s="95">
        <f t="shared" si="2794"/>
        <v>0</v>
      </c>
      <c r="AG250" s="114">
        <v>0</v>
      </c>
      <c r="AH250" s="95">
        <f t="shared" si="2795"/>
        <v>101</v>
      </c>
      <c r="AI250" s="114">
        <f t="shared" si="2796"/>
        <v>289435.69999999995</v>
      </c>
      <c r="AJ250" s="133">
        <f t="shared" si="2797"/>
        <v>788</v>
      </c>
      <c r="AK250" s="133">
        <f t="shared" si="2842"/>
        <v>788</v>
      </c>
      <c r="AL250" s="133">
        <f t="shared" si="2798"/>
        <v>2064</v>
      </c>
      <c r="AM250" s="133">
        <f t="shared" si="2799"/>
        <v>602</v>
      </c>
      <c r="AN250" s="133">
        <f t="shared" si="2800"/>
        <v>9.2691029900332236</v>
      </c>
      <c r="AO250" s="133" t="str">
        <f t="shared" si="2801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802"/>
        <v>0-01</v>
      </c>
      <c r="AW250" s="117">
        <f t="shared" si="2803"/>
        <v>0</v>
      </c>
      <c r="AX250" s="14"/>
      <c r="AY250" s="25">
        <f t="shared" si="2804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805"/>
        <v>0</v>
      </c>
      <c r="BG250" s="32">
        <v>0</v>
      </c>
      <c r="BH250" s="32">
        <f t="shared" si="2806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807"/>
        <v>100.33333333333333</v>
      </c>
      <c r="BR250" s="95">
        <f t="shared" si="2808"/>
        <v>-45</v>
      </c>
      <c r="BS250" s="133">
        <f t="shared" si="2843"/>
        <v>-97</v>
      </c>
      <c r="BT250" s="133">
        <f t="shared" si="2843"/>
        <v>-149</v>
      </c>
      <c r="BU250" s="133">
        <f t="shared" si="2843"/>
        <v>-225</v>
      </c>
      <c r="BV250" s="133">
        <f t="shared" si="2843"/>
        <v>-371</v>
      </c>
      <c r="BW250" s="133">
        <f t="shared" si="2843"/>
        <v>-501</v>
      </c>
      <c r="BX250" s="133">
        <f t="shared" si="2846"/>
        <v>-601.33333333333337</v>
      </c>
      <c r="BY250" s="133">
        <f t="shared" si="2846"/>
        <v>-701.66666666666674</v>
      </c>
      <c r="BZ250" s="133">
        <f t="shared" si="2846"/>
        <v>-802.00000000000011</v>
      </c>
      <c r="CA250" s="133">
        <f t="shared" ref="CA250:CO250" si="2847">BZ250-$BQ250</f>
        <v>-902.33333333333348</v>
      </c>
      <c r="CB250" s="133">
        <f t="shared" si="2847"/>
        <v>-1002.6666666666669</v>
      </c>
      <c r="CC250" s="133">
        <f t="shared" si="2847"/>
        <v>-1103.0000000000002</v>
      </c>
      <c r="CD250" s="133">
        <f t="shared" si="2847"/>
        <v>-1203.3333333333335</v>
      </c>
      <c r="CE250" s="133">
        <f t="shared" si="2847"/>
        <v>-1303.6666666666667</v>
      </c>
      <c r="CF250" s="133">
        <f t="shared" si="2847"/>
        <v>-1404</v>
      </c>
      <c r="CG250" s="133">
        <f t="shared" si="2847"/>
        <v>-1504.3333333333333</v>
      </c>
      <c r="CH250" s="133">
        <f t="shared" si="2847"/>
        <v>-1604.6666666666665</v>
      </c>
      <c r="CI250" s="133">
        <f t="shared" si="2847"/>
        <v>-1704.9999999999998</v>
      </c>
      <c r="CJ250" s="133">
        <f t="shared" si="2847"/>
        <v>-1805.333333333333</v>
      </c>
      <c r="CK250" s="133">
        <f t="shared" si="2847"/>
        <v>-1905.6666666666663</v>
      </c>
      <c r="CL250" s="133">
        <f t="shared" si="2847"/>
        <v>-2005.9999999999995</v>
      </c>
      <c r="CM250" s="133">
        <f t="shared" si="2847"/>
        <v>-2106.333333333333</v>
      </c>
      <c r="CN250" s="133">
        <f t="shared" si="2847"/>
        <v>-2206.6666666666665</v>
      </c>
      <c r="CO250" s="133">
        <f t="shared" si="2847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810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811"/>
        <v>0</v>
      </c>
      <c r="DB250" s="4">
        <f t="shared" si="2812"/>
        <v>0</v>
      </c>
      <c r="DC250" s="4">
        <f t="shared" si="2813"/>
        <v>0</v>
      </c>
      <c r="DD250" s="136">
        <f t="shared" si="2814"/>
        <v>0</v>
      </c>
      <c r="DE250" s="31">
        <v>0</v>
      </c>
      <c r="DF250" s="31">
        <v>10</v>
      </c>
      <c r="DG250" s="31">
        <v>24</v>
      </c>
      <c r="DH250" s="48">
        <f t="shared" si="2815"/>
        <v>9</v>
      </c>
      <c r="DI250" s="62">
        <v>419.90300000000002</v>
      </c>
      <c r="DJ250" s="62">
        <v>1220755.8329999999</v>
      </c>
      <c r="DK250" s="48">
        <f t="shared" si="2816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817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818"/>
        <v>12</v>
      </c>
      <c r="DV250" s="62">
        <v>0</v>
      </c>
      <c r="DW250" s="62">
        <v>0</v>
      </c>
      <c r="DX250" s="62">
        <f t="shared" si="2819"/>
        <v>48.666666666666664</v>
      </c>
      <c r="DY250" s="62">
        <f t="shared" si="2820"/>
        <v>139464.06666666665</v>
      </c>
      <c r="DZ250" s="48">
        <f t="shared" si="2821"/>
        <v>19.5</v>
      </c>
      <c r="EA250" s="62">
        <f t="shared" si="2822"/>
        <v>17.333333333333332</v>
      </c>
      <c r="EB250" s="62">
        <f t="shared" si="2823"/>
        <v>49672.133333333324</v>
      </c>
      <c r="EC250" s="48">
        <f t="shared" si="2824"/>
        <v>7.5</v>
      </c>
      <c r="ED250" s="62">
        <f t="shared" si="2825"/>
        <v>17.333333333333332</v>
      </c>
      <c r="EE250" s="62">
        <f t="shared" si="2826"/>
        <v>49672.133333333324</v>
      </c>
      <c r="EF250" s="48">
        <f t="shared" si="2827"/>
        <v>7.5</v>
      </c>
      <c r="EG250" s="62">
        <f t="shared" si="2828"/>
        <v>25.333333333333332</v>
      </c>
      <c r="EH250" s="62">
        <f t="shared" si="2829"/>
        <v>72597.733333333323</v>
      </c>
      <c r="EI250" s="48">
        <f t="shared" si="2830"/>
        <v>10.5</v>
      </c>
      <c r="EJ250" s="62">
        <f t="shared" si="2831"/>
        <v>48.666666666666664</v>
      </c>
      <c r="EK250" s="62">
        <f t="shared" si="2832"/>
        <v>139464.06666666665</v>
      </c>
      <c r="EL250" s="48">
        <f t="shared" si="2833"/>
        <v>19.5</v>
      </c>
      <c r="EM250" s="62">
        <f t="shared" si="2834"/>
        <v>43.333333333333336</v>
      </c>
      <c r="EN250" s="62">
        <f t="shared" si="2835"/>
        <v>124180.33333333333</v>
      </c>
      <c r="EO250" s="48">
        <f t="shared" si="2836"/>
        <v>16.5</v>
      </c>
      <c r="EP250" s="62">
        <f t="shared" si="2845"/>
        <v>418392.19999999995</v>
      </c>
      <c r="EQ250" s="62">
        <f t="shared" si="2845"/>
        <v>149016.4</v>
      </c>
      <c r="ER250" s="62">
        <f t="shared" si="2845"/>
        <v>149016.4</v>
      </c>
      <c r="ES250" s="62">
        <f t="shared" si="2845"/>
        <v>217793.19999999998</v>
      </c>
      <c r="ET250" s="62">
        <f t="shared" si="2845"/>
        <v>418392.19999999995</v>
      </c>
      <c r="EU250" s="62">
        <f t="shared" si="2845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37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 t="shared" si="2339"/>
        <v>1</v>
      </c>
      <c r="FS250" s="103" t="b">
        <f t="shared" si="2340"/>
        <v>0</v>
      </c>
      <c r="FT250" s="103" t="b">
        <f t="shared" si="2341"/>
        <v>1</v>
      </c>
      <c r="FU250" s="103" t="b">
        <f t="shared" si="2342"/>
        <v>0</v>
      </c>
      <c r="FV250" s="103" t="b">
        <f t="shared" si="2343"/>
        <v>1</v>
      </c>
      <c r="FW250" s="104" t="b">
        <f t="shared" si="2392"/>
        <v>0</v>
      </c>
      <c r="FX250" s="120" t="b">
        <f t="shared" si="2838"/>
        <v>1</v>
      </c>
      <c r="FY250" s="104" t="s">
        <v>214</v>
      </c>
      <c r="FZ250" s="104" t="b">
        <f t="shared" si="2839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40"/>
        <v>1</v>
      </c>
      <c r="GI250" s="8" t="b">
        <f t="shared" si="2841"/>
        <v>0</v>
      </c>
    </row>
    <row r="251" spans="1:192" hidden="1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87"/>
        <v>нет минмакс</v>
      </c>
      <c r="Q251" s="95">
        <v>30071</v>
      </c>
      <c r="R251" s="95">
        <f t="shared" si="2788"/>
        <v>58337.74</v>
      </c>
      <c r="S251" s="114">
        <v>44335</v>
      </c>
      <c r="T251" s="114">
        <v>88670</v>
      </c>
      <c r="U251" s="131">
        <f t="shared" si="2789"/>
        <v>3</v>
      </c>
      <c r="V251" s="115">
        <f t="shared" si="2790"/>
        <v>10526</v>
      </c>
      <c r="W251" s="115">
        <f t="shared" si="2791"/>
        <v>20420.439999999999</v>
      </c>
      <c r="X251" s="115">
        <f t="shared" si="2792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93"/>
        <v>0</v>
      </c>
      <c r="AF251" s="95">
        <f t="shared" si="2794"/>
        <v>0</v>
      </c>
      <c r="AG251" s="114">
        <v>0</v>
      </c>
      <c r="AH251" s="95">
        <f t="shared" si="2795"/>
        <v>10526</v>
      </c>
      <c r="AI251" s="114">
        <f t="shared" si="2796"/>
        <v>20420.439999999999</v>
      </c>
      <c r="AJ251" s="114">
        <f t="shared" si="2797"/>
        <v>59582</v>
      </c>
      <c r="AK251" s="114">
        <f t="shared" si="2842"/>
        <v>143041</v>
      </c>
      <c r="AL251" s="114">
        <f t="shared" si="2798"/>
        <v>249929</v>
      </c>
      <c r="AM251" s="114">
        <f t="shared" si="2799"/>
        <v>308881</v>
      </c>
      <c r="AN251" s="133">
        <f t="shared" si="2800"/>
        <v>25.836163441584301</v>
      </c>
      <c r="AO251" s="133" t="str">
        <f t="shared" si="2801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802"/>
        <v>0-01</v>
      </c>
      <c r="AW251" s="126">
        <f t="shared" si="2803"/>
        <v>0</v>
      </c>
      <c r="AX251" s="138"/>
      <c r="AY251" s="115">
        <f t="shared" si="2804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805"/>
        <v>0</v>
      </c>
      <c r="BG251" s="32">
        <v>0</v>
      </c>
      <c r="BH251" s="32">
        <f t="shared" si="2806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807"/>
        <v>51480.166666666664</v>
      </c>
      <c r="BR251" s="95">
        <f t="shared" si="2808"/>
        <v>-25111</v>
      </c>
      <c r="BS251" s="133">
        <f t="shared" ref="BS251:BW254" si="2848">BR251-BL251</f>
        <v>-83422</v>
      </c>
      <c r="BT251" s="133">
        <f t="shared" si="2848"/>
        <v>-132154</v>
      </c>
      <c r="BU251" s="133">
        <f t="shared" si="2848"/>
        <v>-193141</v>
      </c>
      <c r="BV251" s="133">
        <f t="shared" si="2848"/>
        <v>-241559</v>
      </c>
      <c r="BW251" s="133">
        <f t="shared" si="2848"/>
        <v>-278810</v>
      </c>
      <c r="BX251" s="133">
        <f t="shared" ref="BX251:CO251" si="2849">BW251-$BQ251</f>
        <v>-330290.16666666669</v>
      </c>
      <c r="BY251" s="133">
        <f t="shared" si="2849"/>
        <v>-381770.33333333337</v>
      </c>
      <c r="BZ251" s="133">
        <f t="shared" si="2849"/>
        <v>-433250.50000000006</v>
      </c>
      <c r="CA251" s="133">
        <f t="shared" si="2849"/>
        <v>-484730.66666666674</v>
      </c>
      <c r="CB251" s="133">
        <f t="shared" si="2849"/>
        <v>-536210.83333333337</v>
      </c>
      <c r="CC251" s="133">
        <f t="shared" si="2849"/>
        <v>-587691</v>
      </c>
      <c r="CD251" s="133">
        <f t="shared" si="2849"/>
        <v>-639171.16666666663</v>
      </c>
      <c r="CE251" s="133">
        <f t="shared" si="2849"/>
        <v>-690651.33333333326</v>
      </c>
      <c r="CF251" s="133">
        <f t="shared" si="2849"/>
        <v>-742131.49999999988</v>
      </c>
      <c r="CG251" s="133">
        <f t="shared" si="2849"/>
        <v>-793611.66666666651</v>
      </c>
      <c r="CH251" s="133">
        <f t="shared" si="2849"/>
        <v>-845091.83333333314</v>
      </c>
      <c r="CI251" s="133">
        <f t="shared" si="2849"/>
        <v>-896571.99999999977</v>
      </c>
      <c r="CJ251" s="133">
        <f t="shared" si="2849"/>
        <v>-948052.1666666664</v>
      </c>
      <c r="CK251" s="133">
        <f t="shared" si="2849"/>
        <v>-999532.33333333302</v>
      </c>
      <c r="CL251" s="133">
        <f t="shared" si="2849"/>
        <v>-1051012.4999999998</v>
      </c>
      <c r="CM251" s="133">
        <f t="shared" si="2849"/>
        <v>-1102492.6666666665</v>
      </c>
      <c r="CN251" s="133">
        <f t="shared" si="2849"/>
        <v>-1153972.8333333333</v>
      </c>
      <c r="CO251" s="133">
        <f t="shared" si="2849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810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811"/>
        <v>0</v>
      </c>
      <c r="DB251" s="4">
        <f t="shared" si="2812"/>
        <v>0</v>
      </c>
      <c r="DC251" s="4">
        <f t="shared" si="2813"/>
        <v>0</v>
      </c>
      <c r="DD251" s="136">
        <f t="shared" si="2814"/>
        <v>0</v>
      </c>
      <c r="DE251" s="31">
        <v>0</v>
      </c>
      <c r="DG251" s="31">
        <v>0</v>
      </c>
      <c r="DH251" s="48">
        <f t="shared" si="2815"/>
        <v>0</v>
      </c>
      <c r="DI251" s="62">
        <v>37065.678</v>
      </c>
      <c r="DJ251" s="62">
        <v>71429.736999999994</v>
      </c>
      <c r="DK251" s="48">
        <f t="shared" si="2816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817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818"/>
        <v>3</v>
      </c>
      <c r="DV251" s="62">
        <v>27123</v>
      </c>
      <c r="DW251" s="62">
        <v>53217.597334935141</v>
      </c>
      <c r="DX251" s="62">
        <f t="shared" si="2819"/>
        <v>0</v>
      </c>
      <c r="DY251" s="62">
        <f t="shared" si="2820"/>
        <v>0</v>
      </c>
      <c r="DZ251" s="48">
        <f t="shared" si="2821"/>
        <v>0</v>
      </c>
      <c r="EA251" s="62">
        <f t="shared" si="2822"/>
        <v>0</v>
      </c>
      <c r="EB251" s="62">
        <f t="shared" si="2823"/>
        <v>0</v>
      </c>
      <c r="EC251" s="48">
        <f t="shared" si="2824"/>
        <v>0</v>
      </c>
      <c r="ED251" s="62">
        <f t="shared" si="2825"/>
        <v>0</v>
      </c>
      <c r="EE251" s="62">
        <f t="shared" si="2826"/>
        <v>0</v>
      </c>
      <c r="EF251" s="48">
        <f t="shared" si="2827"/>
        <v>0</v>
      </c>
      <c r="EG251" s="62">
        <f t="shared" si="2828"/>
        <v>0</v>
      </c>
      <c r="EH251" s="62">
        <f t="shared" si="2829"/>
        <v>0</v>
      </c>
      <c r="EI251" s="48">
        <f t="shared" si="2830"/>
        <v>0</v>
      </c>
      <c r="EJ251" s="62">
        <f t="shared" si="2831"/>
        <v>0</v>
      </c>
      <c r="EK251" s="62">
        <f t="shared" si="2832"/>
        <v>0</v>
      </c>
      <c r="EL251" s="48">
        <f t="shared" si="2833"/>
        <v>0</v>
      </c>
      <c r="EM251" s="62">
        <f t="shared" si="2834"/>
        <v>0</v>
      </c>
      <c r="EN251" s="62">
        <f t="shared" si="2835"/>
        <v>0</v>
      </c>
      <c r="EO251" s="48">
        <f t="shared" si="2836"/>
        <v>0</v>
      </c>
      <c r="EP251" s="62">
        <f t="shared" si="2845"/>
        <v>107053.08</v>
      </c>
      <c r="EQ251" s="62">
        <f t="shared" si="2845"/>
        <v>113123.34</v>
      </c>
      <c r="ER251" s="62">
        <f t="shared" si="2845"/>
        <v>94540.08</v>
      </c>
      <c r="ES251" s="62">
        <f t="shared" si="2845"/>
        <v>118314.78</v>
      </c>
      <c r="ET251" s="62">
        <f t="shared" si="2845"/>
        <v>93930.92</v>
      </c>
      <c r="EU251" s="62">
        <f t="shared" si="2845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37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 t="shared" si="2339"/>
        <v>1</v>
      </c>
      <c r="FS251" s="120" t="b">
        <f t="shared" si="2340"/>
        <v>1</v>
      </c>
      <c r="FT251" s="120" t="b">
        <f t="shared" si="2341"/>
        <v>1</v>
      </c>
      <c r="FU251" s="120" t="b">
        <f t="shared" si="2342"/>
        <v>1</v>
      </c>
      <c r="FV251" s="120" t="b">
        <f t="shared" si="2343"/>
        <v>1</v>
      </c>
      <c r="FW251" s="104" t="b">
        <f t="shared" si="2392"/>
        <v>0</v>
      </c>
      <c r="FX251" s="120" t="b">
        <f t="shared" si="2838"/>
        <v>1</v>
      </c>
      <c r="FY251" s="104" t="s">
        <v>368</v>
      </c>
      <c r="FZ251" s="104" t="b">
        <f t="shared" si="2839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40"/>
        <v>1</v>
      </c>
      <c r="GI251" s="8" t="b">
        <f t="shared" si="2841"/>
        <v>0</v>
      </c>
      <c r="GJ251" s="31" t="s">
        <v>203</v>
      </c>
    </row>
    <row r="252" spans="1:192" hidden="1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87"/>
        <v>нет минмакс</v>
      </c>
      <c r="Q252" s="95">
        <v>157000</v>
      </c>
      <c r="R252" s="95">
        <f t="shared" si="2788"/>
        <v>189970</v>
      </c>
      <c r="S252" s="114">
        <v>67000</v>
      </c>
      <c r="T252" s="114">
        <v>89780</v>
      </c>
      <c r="U252" s="131">
        <f t="shared" si="2789"/>
        <v>4</v>
      </c>
      <c r="V252" s="115">
        <f t="shared" si="2790"/>
        <v>150000</v>
      </c>
      <c r="W252" s="115">
        <f t="shared" si="2791"/>
        <v>181500</v>
      </c>
      <c r="X252" s="115">
        <f t="shared" si="2792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93"/>
        <v>0</v>
      </c>
      <c r="AF252" s="95">
        <f t="shared" si="2794"/>
        <v>0</v>
      </c>
      <c r="AG252" s="114">
        <v>0</v>
      </c>
      <c r="AH252" s="95">
        <f t="shared" si="2795"/>
        <v>150000</v>
      </c>
      <c r="AI252" s="114">
        <f t="shared" si="2796"/>
        <v>181500</v>
      </c>
      <c r="AJ252" s="114">
        <f t="shared" si="2797"/>
        <v>63209</v>
      </c>
      <c r="AK252" s="114">
        <f t="shared" si="2842"/>
        <v>156664</v>
      </c>
      <c r="AL252" s="114">
        <f t="shared" si="2798"/>
        <v>275393</v>
      </c>
      <c r="AM252" s="114">
        <f t="shared" si="2799"/>
        <v>322432</v>
      </c>
      <c r="AN252" s="133">
        <f t="shared" si="2800"/>
        <v>37.403235410877336</v>
      </c>
      <c r="AO252" s="133" t="str">
        <f t="shared" si="2801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802"/>
        <v>0-04</v>
      </c>
      <c r="AW252" s="126">
        <f t="shared" si="2803"/>
        <v>0</v>
      </c>
      <c r="AX252" s="138"/>
      <c r="AY252" s="115">
        <f t="shared" si="2804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805"/>
        <v>0</v>
      </c>
      <c r="BG252" s="32">
        <v>0</v>
      </c>
      <c r="BH252" s="32">
        <f t="shared" si="2806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807"/>
        <v>53738.666666666664</v>
      </c>
      <c r="BR252" s="95">
        <f t="shared" si="2808"/>
        <v>134772</v>
      </c>
      <c r="BS252" s="133">
        <f t="shared" si="2848"/>
        <v>68818</v>
      </c>
      <c r="BT252" s="133">
        <f t="shared" si="2848"/>
        <v>10070</v>
      </c>
      <c r="BU252" s="133">
        <f t="shared" si="2848"/>
        <v>-59389</v>
      </c>
      <c r="BV252" s="133">
        <f t="shared" si="2848"/>
        <v>-116428</v>
      </c>
      <c r="BW252" s="133">
        <f t="shared" si="2848"/>
        <v>-165432</v>
      </c>
      <c r="BX252" s="133">
        <f t="shared" ref="BX252:CO253" si="2850">BW252-$BQ252</f>
        <v>-219170.66666666666</v>
      </c>
      <c r="BY252" s="133">
        <f t="shared" si="2850"/>
        <v>-272909.33333333331</v>
      </c>
      <c r="BZ252" s="133">
        <f t="shared" si="2850"/>
        <v>-326648</v>
      </c>
      <c r="CA252" s="133">
        <f t="shared" si="2850"/>
        <v>-380386.66666666669</v>
      </c>
      <c r="CB252" s="133">
        <f t="shared" si="2850"/>
        <v>-434125.33333333337</v>
      </c>
      <c r="CC252" s="133">
        <f t="shared" si="2850"/>
        <v>-487864.00000000006</v>
      </c>
      <c r="CD252" s="133">
        <f t="shared" si="2850"/>
        <v>-541602.66666666674</v>
      </c>
      <c r="CE252" s="133">
        <f t="shared" si="2850"/>
        <v>-595341.33333333337</v>
      </c>
      <c r="CF252" s="133">
        <f t="shared" si="2850"/>
        <v>-649080</v>
      </c>
      <c r="CG252" s="133">
        <f t="shared" si="2850"/>
        <v>-702818.66666666663</v>
      </c>
      <c r="CH252" s="133">
        <f t="shared" si="2850"/>
        <v>-756557.33333333326</v>
      </c>
      <c r="CI252" s="133">
        <f t="shared" si="2850"/>
        <v>-810295.99999999988</v>
      </c>
      <c r="CJ252" s="133">
        <f t="shared" si="2850"/>
        <v>-864034.66666666651</v>
      </c>
      <c r="CK252" s="133">
        <f t="shared" si="2850"/>
        <v>-917773.33333333314</v>
      </c>
      <c r="CL252" s="133">
        <f t="shared" si="2850"/>
        <v>-971511.99999999977</v>
      </c>
      <c r="CM252" s="133">
        <f t="shared" si="2850"/>
        <v>-1025250.6666666664</v>
      </c>
      <c r="CN252" s="133">
        <f t="shared" si="2850"/>
        <v>-1078989.333333333</v>
      </c>
      <c r="CO252" s="133">
        <f t="shared" si="2850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810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811"/>
        <v>0</v>
      </c>
      <c r="DB252" s="4">
        <f t="shared" si="2812"/>
        <v>0</v>
      </c>
      <c r="DC252" s="4">
        <f t="shared" si="2813"/>
        <v>0</v>
      </c>
      <c r="DD252" s="136">
        <f t="shared" si="2814"/>
        <v>0</v>
      </c>
      <c r="DE252" s="31">
        <v>0</v>
      </c>
      <c r="DG252" s="31">
        <v>0</v>
      </c>
      <c r="DH252" s="48">
        <f t="shared" si="2815"/>
        <v>0</v>
      </c>
      <c r="DI252" s="62">
        <v>43637.773999999998</v>
      </c>
      <c r="DJ252" s="62">
        <v>55245.024999999994</v>
      </c>
      <c r="DK252" s="48">
        <f t="shared" si="2816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817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818"/>
        <v>4</v>
      </c>
      <c r="DV252" s="62">
        <v>58490</v>
      </c>
      <c r="DW252" s="62">
        <v>75024.998134610098</v>
      </c>
      <c r="DX252" s="62">
        <f t="shared" si="2819"/>
        <v>0</v>
      </c>
      <c r="DY252" s="62">
        <f t="shared" si="2820"/>
        <v>0</v>
      </c>
      <c r="DZ252" s="48">
        <f t="shared" si="2821"/>
        <v>0</v>
      </c>
      <c r="EA252" s="62">
        <f t="shared" si="2822"/>
        <v>0</v>
      </c>
      <c r="EB252" s="62">
        <f t="shared" si="2823"/>
        <v>0</v>
      </c>
      <c r="EC252" s="48">
        <f t="shared" si="2824"/>
        <v>0</v>
      </c>
      <c r="ED252" s="62">
        <f t="shared" si="2825"/>
        <v>0</v>
      </c>
      <c r="EE252" s="62">
        <f t="shared" si="2826"/>
        <v>0</v>
      </c>
      <c r="EF252" s="48">
        <f t="shared" si="2827"/>
        <v>0</v>
      </c>
      <c r="EG252" s="62">
        <f t="shared" si="2828"/>
        <v>0</v>
      </c>
      <c r="EH252" s="62">
        <f t="shared" si="2829"/>
        <v>0</v>
      </c>
      <c r="EI252" s="48">
        <f t="shared" si="2830"/>
        <v>0</v>
      </c>
      <c r="EJ252" s="62">
        <f t="shared" si="2831"/>
        <v>0</v>
      </c>
      <c r="EK252" s="62">
        <f t="shared" si="2832"/>
        <v>0</v>
      </c>
      <c r="EL252" s="48">
        <f t="shared" si="2833"/>
        <v>0</v>
      </c>
      <c r="EM252" s="62">
        <f t="shared" si="2834"/>
        <v>0</v>
      </c>
      <c r="EN252" s="62">
        <f t="shared" si="2835"/>
        <v>0</v>
      </c>
      <c r="EO252" s="48">
        <f t="shared" si="2836"/>
        <v>0</v>
      </c>
      <c r="EP252" s="62">
        <f t="shared" si="2845"/>
        <v>26895.88</v>
      </c>
      <c r="EQ252" s="62">
        <f t="shared" si="2845"/>
        <v>79804.34</v>
      </c>
      <c r="ER252" s="62">
        <f t="shared" si="2845"/>
        <v>71085.08</v>
      </c>
      <c r="ES252" s="62">
        <f t="shared" si="2845"/>
        <v>84045.39</v>
      </c>
      <c r="ET252" s="62">
        <f t="shared" si="2845"/>
        <v>69017.19</v>
      </c>
      <c r="EU252" s="62">
        <f t="shared" si="2845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37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 t="shared" si="2339"/>
        <v>1</v>
      </c>
      <c r="FS252" s="120" t="b">
        <f t="shared" si="2340"/>
        <v>1</v>
      </c>
      <c r="FT252" s="120" t="b">
        <f t="shared" si="2341"/>
        <v>1</v>
      </c>
      <c r="FU252" s="120" t="b">
        <f t="shared" si="2342"/>
        <v>1</v>
      </c>
      <c r="FV252" s="120" t="b">
        <f t="shared" si="2343"/>
        <v>1</v>
      </c>
      <c r="FW252" s="104" t="b">
        <f t="shared" si="2392"/>
        <v>0</v>
      </c>
      <c r="FX252" s="120" t="b">
        <f t="shared" si="2838"/>
        <v>1</v>
      </c>
      <c r="FY252" s="104" t="s">
        <v>368</v>
      </c>
      <c r="FZ252" s="104" t="b">
        <f t="shared" si="2839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40"/>
        <v>1</v>
      </c>
      <c r="GI252" s="8" t="b">
        <f t="shared" si="2841"/>
        <v>0</v>
      </c>
      <c r="GJ252" s="31" t="s">
        <v>203</v>
      </c>
    </row>
    <row r="253" spans="1:192" hidden="1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51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52">Q253*FH253</f>
        <v>151620</v>
      </c>
      <c r="S253" s="114">
        <v>64765</v>
      </c>
      <c r="T253" s="114">
        <v>82899.199999999997</v>
      </c>
      <c r="U253" s="131">
        <f t="shared" ref="U253:U257" si="2853">IFERROR(ROUNDUP(S253/$EX253,0)*$EY253,0)</f>
        <v>4</v>
      </c>
      <c r="V253" s="115">
        <f t="shared" ref="V253:V257" si="2854">SUM(Z253:AD253)</f>
        <v>34540</v>
      </c>
      <c r="W253" s="115">
        <f t="shared" ref="W253:W257" si="2855">V253*FH253</f>
        <v>39375.599999999999</v>
      </c>
      <c r="X253" s="115">
        <f t="shared" ref="X253:X257" si="2856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57">AA253*FH253</f>
        <v>0</v>
      </c>
      <c r="AF253" s="95">
        <f t="shared" ref="AF253:AF257" si="2858">AB253*FH253</f>
        <v>0</v>
      </c>
      <c r="AG253" s="114">
        <v>0</v>
      </c>
      <c r="AH253" s="95">
        <f t="shared" ref="AH253:AH257" si="2859">V253-AG253</f>
        <v>34540</v>
      </c>
      <c r="AI253" s="114">
        <f t="shared" ref="AI253:AI257" si="2860">IF(AH253&gt;0,AH253*FH253,0)</f>
        <v>39375.599999999999</v>
      </c>
      <c r="AJ253" s="114">
        <f t="shared" ref="AJ253:AJ257" si="2861">CU253</f>
        <v>55999</v>
      </c>
      <c r="AK253" s="114">
        <f t="shared" ref="AK253:AK257" si="2862">SUM(CS253:CU253)</f>
        <v>141914</v>
      </c>
      <c r="AL253" s="114">
        <f t="shared" ref="AL253:AL257" si="2863">SUM(CP253:CU253)</f>
        <v>318512</v>
      </c>
      <c r="AM253" s="114">
        <f t="shared" ref="AM253:AM257" si="2864">SUM(BK253:BP253)</f>
        <v>470534</v>
      </c>
      <c r="AN253" s="133">
        <f t="shared" ref="AN253:AN257" si="2865">IFERROR(S253/BQ253*30,"нет оборота")</f>
        <v>24.775467872672326</v>
      </c>
      <c r="AO253" s="133" t="str">
        <f t="shared" ref="AO253:AO257" si="2866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67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68">IF(AT253="Да",W253,0)</f>
        <v>0</v>
      </c>
      <c r="AX253" s="138"/>
      <c r="AY253" s="115">
        <f t="shared" ref="AY253:AY257" si="2869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70">BE253*FH253</f>
        <v>0</v>
      </c>
      <c r="BG253" s="32">
        <v>0</v>
      </c>
      <c r="BH253" s="32">
        <f t="shared" ref="BH253:BH257" si="2871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72">IF(COUNTIF(BK253:BP253,"&gt;0")=0,0,SUM(BK253:BP253)/COUNTIF(BK253:BP253,"&gt;0"))</f>
        <v>78422.333333333328</v>
      </c>
      <c r="BR253" s="95">
        <f t="shared" ref="BR253:BR257" si="2873">IF(OR(Q253=0,SUM(BK253:BP253)=0,V253&gt;Q253),V253-BK253,Q253-BK253)</f>
        <v>77544</v>
      </c>
      <c r="BS253" s="133">
        <f t="shared" si="2848"/>
        <v>15473</v>
      </c>
      <c r="BT253" s="133">
        <f t="shared" si="2848"/>
        <v>-74303</v>
      </c>
      <c r="BU253" s="133">
        <f t="shared" si="2848"/>
        <v>-150553</v>
      </c>
      <c r="BV253" s="133">
        <f t="shared" si="2848"/>
        <v>-254915</v>
      </c>
      <c r="BW253" s="133">
        <f t="shared" si="2848"/>
        <v>-337534</v>
      </c>
      <c r="BX253" s="133">
        <f t="shared" si="2850"/>
        <v>-415956.33333333331</v>
      </c>
      <c r="BY253" s="133">
        <f t="shared" si="2850"/>
        <v>-494378.66666666663</v>
      </c>
      <c r="BZ253" s="133">
        <f t="shared" si="2850"/>
        <v>-572801</v>
      </c>
      <c r="CA253" s="133">
        <f t="shared" si="2850"/>
        <v>-651223.33333333337</v>
      </c>
      <c r="CB253" s="133">
        <f t="shared" si="2850"/>
        <v>-729645.66666666674</v>
      </c>
      <c r="CC253" s="133">
        <f t="shared" si="2850"/>
        <v>-808068.00000000012</v>
      </c>
      <c r="CD253" s="133">
        <f t="shared" si="2850"/>
        <v>-886490.33333333349</v>
      </c>
      <c r="CE253" s="133">
        <f t="shared" si="2850"/>
        <v>-964912.66666666686</v>
      </c>
      <c r="CF253" s="133">
        <f t="shared" si="2850"/>
        <v>-1043335.0000000002</v>
      </c>
      <c r="CG253" s="133">
        <f t="shared" si="2850"/>
        <v>-1121757.3333333335</v>
      </c>
      <c r="CH253" s="133">
        <f t="shared" si="2850"/>
        <v>-1200179.6666666667</v>
      </c>
      <c r="CI253" s="133">
        <f t="shared" si="2850"/>
        <v>-1278602</v>
      </c>
      <c r="CJ253" s="133">
        <f t="shared" si="2850"/>
        <v>-1357024.3333333333</v>
      </c>
      <c r="CK253" s="133">
        <f t="shared" si="2850"/>
        <v>-1435446.6666666665</v>
      </c>
      <c r="CL253" s="133">
        <f t="shared" si="2850"/>
        <v>-1513868.9999999998</v>
      </c>
      <c r="CM253" s="133">
        <f t="shared" si="2850"/>
        <v>-1592291.333333333</v>
      </c>
      <c r="CN253" s="133">
        <f t="shared" si="2850"/>
        <v>-1670713.6666666663</v>
      </c>
      <c r="CO253" s="133">
        <f t="shared" si="2850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74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75">IFERROR(CZ253/CY253,0)</f>
        <v>0</v>
      </c>
      <c r="DB253" s="4">
        <f t="shared" ref="DB253:DB257" si="2876">CY253*FH253</f>
        <v>0</v>
      </c>
      <c r="DC253" s="4">
        <f t="shared" ref="DC253:DC257" si="2877">CZ253*FH253</f>
        <v>0</v>
      </c>
      <c r="DD253" s="136">
        <f t="shared" ref="DD253:DD257" si="2878">IFERROR(DC253/DB253,0)</f>
        <v>0</v>
      </c>
      <c r="DE253" s="31">
        <v>0</v>
      </c>
      <c r="DG253" s="31">
        <v>0</v>
      </c>
      <c r="DH253" s="48">
        <f t="shared" ref="DH253:DH257" si="2879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80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81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82">IFERROR(ROUNDUP(DS253/$EX253,0)*$EY253,0)</f>
        <v>4</v>
      </c>
      <c r="DV253" s="62">
        <v>30000</v>
      </c>
      <c r="DW253" s="62">
        <v>38308.07323943662</v>
      </c>
      <c r="DX253" s="62">
        <f t="shared" ref="DX253:DX257" si="2883">$DF253*BK253/30</f>
        <v>0</v>
      </c>
      <c r="DY253" s="62">
        <f t="shared" ref="DY253:DY257" si="2884">DX253*$FH253</f>
        <v>0</v>
      </c>
      <c r="DZ253" s="48">
        <f t="shared" ref="DZ253:DZ257" si="2885">IFERROR(ROUNDUP(DX253/$EX253,0)*$EY253,0)</f>
        <v>0</v>
      </c>
      <c r="EA253" s="62">
        <f t="shared" ref="EA253:EA257" si="2886">$DF253*BL253/30</f>
        <v>0</v>
      </c>
      <c r="EB253" s="62">
        <f t="shared" ref="EB253:EB257" si="2887">EA253*$FH253</f>
        <v>0</v>
      </c>
      <c r="EC253" s="48">
        <f t="shared" ref="EC253:EC257" si="2888">IFERROR(ROUNDUP(EA253/$EX253,0)*$EY253,0)</f>
        <v>0</v>
      </c>
      <c r="ED253" s="62">
        <f t="shared" ref="ED253:ED257" si="2889">$DF253*BM253/30</f>
        <v>0</v>
      </c>
      <c r="EE253" s="62">
        <f t="shared" ref="EE253:EE257" si="2890">ED253*$FH253</f>
        <v>0</v>
      </c>
      <c r="EF253" s="48">
        <f t="shared" ref="EF253:EF257" si="2891">IFERROR(ROUNDUP(ED253/$EX253,0)*$EY253,0)</f>
        <v>0</v>
      </c>
      <c r="EG253" s="62">
        <f t="shared" ref="EG253:EG257" si="2892">$DF253*BN253/30</f>
        <v>0</v>
      </c>
      <c r="EH253" s="62">
        <f t="shared" ref="EH253:EH257" si="2893">EG253*$FH253</f>
        <v>0</v>
      </c>
      <c r="EI253" s="48">
        <f t="shared" ref="EI253:EI257" si="2894">IFERROR(ROUNDUP(EG253/$EX253,0)*$EY253,0)</f>
        <v>0</v>
      </c>
      <c r="EJ253" s="62">
        <f t="shared" ref="EJ253:EJ257" si="2895">$DF253*BO253/30</f>
        <v>0</v>
      </c>
      <c r="EK253" s="62">
        <f t="shared" ref="EK253:EK257" si="2896">EJ253*$FH253</f>
        <v>0</v>
      </c>
      <c r="EL253" s="48">
        <f t="shared" ref="EL253:EL257" si="2897">IFERROR(ROUNDUP(EJ253/$EX253,0)*$EY253,0)</f>
        <v>0</v>
      </c>
      <c r="EM253" s="62">
        <f t="shared" ref="EM253:EM257" si="2898">$DF253*BP253/30</f>
        <v>0</v>
      </c>
      <c r="EN253" s="62">
        <f t="shared" ref="EN253:EN257" si="2899">EM253*$FH253</f>
        <v>0</v>
      </c>
      <c r="EO253" s="48">
        <f t="shared" ref="EO253:EO257" si="2900">IFERROR(ROUNDUP(EM253/$EX253,0)*$EY253,0)</f>
        <v>0</v>
      </c>
      <c r="EP253" s="62">
        <f t="shared" ref="EP253:ER257" si="2901">BK253*$FH253</f>
        <v>63219.839999999997</v>
      </c>
      <c r="EQ253" s="62">
        <f t="shared" si="2901"/>
        <v>70760.939999999988</v>
      </c>
      <c r="ER253" s="62">
        <f t="shared" si="2901"/>
        <v>102344.63999999998</v>
      </c>
      <c r="ES253" s="62">
        <f t="shared" ref="ES253:EU257" si="2902">BN253*$FH253</f>
        <v>86924.999999999985</v>
      </c>
      <c r="ET253" s="62">
        <f t="shared" si="2902"/>
        <v>118972.68</v>
      </c>
      <c r="EU253" s="62">
        <f t="shared" si="2902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903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 t="shared" si="2339"/>
        <v>1</v>
      </c>
      <c r="FS253" s="120" t="b">
        <f t="shared" si="2340"/>
        <v>1</v>
      </c>
      <c r="FT253" s="120" t="b">
        <f t="shared" si="2341"/>
        <v>1</v>
      </c>
      <c r="FU253" s="120" t="b">
        <f t="shared" si="2342"/>
        <v>1</v>
      </c>
      <c r="FV253" s="120" t="b">
        <f t="shared" si="2343"/>
        <v>1</v>
      </c>
      <c r="FW253" s="104" t="b">
        <f t="shared" si="2392"/>
        <v>0</v>
      </c>
      <c r="FX253" s="120" t="b">
        <f t="shared" ref="FX253:FX257" si="2904">EXACT(FQ253,BI253)</f>
        <v>1</v>
      </c>
      <c r="FY253" s="104" t="s">
        <v>368</v>
      </c>
      <c r="FZ253" s="104" t="b">
        <f t="shared" ref="FZ253:FZ257" si="2905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906">EXACT(GD253,C253)</f>
        <v>1</v>
      </c>
      <c r="GI253" s="8" t="b">
        <f t="shared" ref="GI253:GI257" si="2907">EXACT(GG253,G253)</f>
        <v>0</v>
      </c>
      <c r="GJ253" s="31" t="s">
        <v>203</v>
      </c>
    </row>
    <row r="254" spans="1:192" hidden="1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51"/>
        <v>нет минмакс</v>
      </c>
      <c r="Q254" s="95">
        <v>72700</v>
      </c>
      <c r="R254" s="95">
        <f t="shared" si="2852"/>
        <v>68338</v>
      </c>
      <c r="S254" s="114">
        <v>87844</v>
      </c>
      <c r="T254" s="114">
        <v>84330.239999999991</v>
      </c>
      <c r="U254" s="131">
        <f t="shared" si="2853"/>
        <v>4</v>
      </c>
      <c r="V254" s="115">
        <f t="shared" si="2854"/>
        <v>72800</v>
      </c>
      <c r="W254" s="115">
        <f t="shared" si="2855"/>
        <v>68432</v>
      </c>
      <c r="X254" s="115">
        <f t="shared" si="2856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57"/>
        <v>0</v>
      </c>
      <c r="AF254" s="95">
        <f t="shared" si="2858"/>
        <v>0</v>
      </c>
      <c r="AG254" s="114">
        <v>0</v>
      </c>
      <c r="AH254" s="95">
        <f t="shared" si="2859"/>
        <v>72800</v>
      </c>
      <c r="AI254" s="114">
        <f t="shared" si="2860"/>
        <v>68432</v>
      </c>
      <c r="AJ254" s="114">
        <f t="shared" si="2861"/>
        <v>5600</v>
      </c>
      <c r="AK254" s="114">
        <f t="shared" si="2862"/>
        <v>194963</v>
      </c>
      <c r="AL254" s="114">
        <f t="shared" si="2863"/>
        <v>304450</v>
      </c>
      <c r="AM254" s="114">
        <f t="shared" si="2864"/>
        <v>254732</v>
      </c>
      <c r="AN254" s="133">
        <f t="shared" si="2865"/>
        <v>62.072766672424343</v>
      </c>
      <c r="AO254" s="133" t="str">
        <f t="shared" si="2866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67"/>
        <v>0-03</v>
      </c>
      <c r="AW254" s="126">
        <f t="shared" si="2868"/>
        <v>0</v>
      </c>
      <c r="AX254" s="138"/>
      <c r="AY254" s="115">
        <f t="shared" si="2869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70"/>
        <v>0</v>
      </c>
      <c r="BG254" s="32">
        <v>0</v>
      </c>
      <c r="BH254" s="32">
        <f t="shared" si="2871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72"/>
        <v>42455.333333333336</v>
      </c>
      <c r="BR254" s="95">
        <f t="shared" si="2873"/>
        <v>51619</v>
      </c>
      <c r="BS254" s="133">
        <f t="shared" si="2848"/>
        <v>22976</v>
      </c>
      <c r="BT254" s="133">
        <f t="shared" si="2848"/>
        <v>-20343</v>
      </c>
      <c r="BU254" s="133">
        <f t="shared" si="2848"/>
        <v>-69454</v>
      </c>
      <c r="BV254" s="133">
        <f t="shared" si="2848"/>
        <v>-134449</v>
      </c>
      <c r="BW254" s="133">
        <f t="shared" si="2848"/>
        <v>-181932</v>
      </c>
      <c r="BX254" s="133">
        <f t="shared" ref="BX254:CO254" si="2908">BW254-$BQ254</f>
        <v>-224387.33333333334</v>
      </c>
      <c r="BY254" s="133">
        <f t="shared" si="2908"/>
        <v>-266842.66666666669</v>
      </c>
      <c r="BZ254" s="133">
        <f t="shared" si="2908"/>
        <v>-309298</v>
      </c>
      <c r="CA254" s="133">
        <f t="shared" si="2908"/>
        <v>-351753.33333333331</v>
      </c>
      <c r="CB254" s="133">
        <f t="shared" si="2908"/>
        <v>-394208.66666666663</v>
      </c>
      <c r="CC254" s="133">
        <f t="shared" si="2908"/>
        <v>-436663.99999999994</v>
      </c>
      <c r="CD254" s="133">
        <f t="shared" si="2908"/>
        <v>-479119.33333333326</v>
      </c>
      <c r="CE254" s="133">
        <f t="shared" si="2908"/>
        <v>-521574.66666666657</v>
      </c>
      <c r="CF254" s="133">
        <f t="shared" si="2908"/>
        <v>-564029.99999999988</v>
      </c>
      <c r="CG254" s="133">
        <f t="shared" si="2908"/>
        <v>-606485.33333333326</v>
      </c>
      <c r="CH254" s="133">
        <f t="shared" si="2908"/>
        <v>-648940.66666666663</v>
      </c>
      <c r="CI254" s="133">
        <f t="shared" si="2908"/>
        <v>-691396</v>
      </c>
      <c r="CJ254" s="133">
        <f t="shared" si="2908"/>
        <v>-733851.33333333337</v>
      </c>
      <c r="CK254" s="133">
        <f t="shared" si="2908"/>
        <v>-776306.66666666674</v>
      </c>
      <c r="CL254" s="133">
        <f t="shared" si="2908"/>
        <v>-818762.00000000012</v>
      </c>
      <c r="CM254" s="133">
        <f t="shared" si="2908"/>
        <v>-861217.33333333349</v>
      </c>
      <c r="CN254" s="133">
        <f t="shared" si="2908"/>
        <v>-903672.66666666686</v>
      </c>
      <c r="CO254" s="133">
        <f t="shared" si="2908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74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75"/>
        <v>0</v>
      </c>
      <c r="DB254" s="4">
        <f t="shared" si="2876"/>
        <v>0</v>
      </c>
      <c r="DC254" s="4">
        <f t="shared" si="2877"/>
        <v>0</v>
      </c>
      <c r="DD254" s="136">
        <f t="shared" si="2878"/>
        <v>0</v>
      </c>
      <c r="DE254" s="31">
        <v>0</v>
      </c>
      <c r="DG254" s="31">
        <v>0</v>
      </c>
      <c r="DH254" s="48">
        <f t="shared" si="2879"/>
        <v>0</v>
      </c>
      <c r="DI254" s="62">
        <v>118764.645</v>
      </c>
      <c r="DJ254" s="62">
        <v>106989.54</v>
      </c>
      <c r="DK254" s="48">
        <f t="shared" si="2880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81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82"/>
        <v>3</v>
      </c>
      <c r="DV254" s="62">
        <v>66310</v>
      </c>
      <c r="DW254" s="62">
        <v>59811.070431894674</v>
      </c>
      <c r="DX254" s="62">
        <f t="shared" si="2883"/>
        <v>0</v>
      </c>
      <c r="DY254" s="62">
        <f t="shared" si="2884"/>
        <v>0</v>
      </c>
      <c r="DZ254" s="48">
        <f t="shared" si="2885"/>
        <v>0</v>
      </c>
      <c r="EA254" s="62">
        <f t="shared" si="2886"/>
        <v>0</v>
      </c>
      <c r="EB254" s="62">
        <f t="shared" si="2887"/>
        <v>0</v>
      </c>
      <c r="EC254" s="48">
        <f t="shared" si="2888"/>
        <v>0</v>
      </c>
      <c r="ED254" s="62">
        <f t="shared" si="2889"/>
        <v>0</v>
      </c>
      <c r="EE254" s="62">
        <f t="shared" si="2890"/>
        <v>0</v>
      </c>
      <c r="EF254" s="48">
        <f t="shared" si="2891"/>
        <v>0</v>
      </c>
      <c r="EG254" s="62">
        <f t="shared" si="2892"/>
        <v>0</v>
      </c>
      <c r="EH254" s="62">
        <f t="shared" si="2893"/>
        <v>0</v>
      </c>
      <c r="EI254" s="48">
        <f t="shared" si="2894"/>
        <v>0</v>
      </c>
      <c r="EJ254" s="62">
        <f t="shared" si="2895"/>
        <v>0</v>
      </c>
      <c r="EK254" s="62">
        <f t="shared" si="2896"/>
        <v>0</v>
      </c>
      <c r="EL254" s="48">
        <f t="shared" si="2897"/>
        <v>0</v>
      </c>
      <c r="EM254" s="62">
        <f t="shared" si="2898"/>
        <v>0</v>
      </c>
      <c r="EN254" s="62">
        <f t="shared" si="2899"/>
        <v>0</v>
      </c>
      <c r="EO254" s="48">
        <f t="shared" si="2900"/>
        <v>0</v>
      </c>
      <c r="EP254" s="62">
        <f t="shared" si="2901"/>
        <v>19910.14</v>
      </c>
      <c r="EQ254" s="62">
        <f t="shared" si="2901"/>
        <v>26924.42</v>
      </c>
      <c r="ER254" s="62">
        <f t="shared" si="2901"/>
        <v>40719.86</v>
      </c>
      <c r="ES254" s="62">
        <f t="shared" si="2902"/>
        <v>46164.34</v>
      </c>
      <c r="ET254" s="62">
        <f t="shared" si="2902"/>
        <v>61095.299999999996</v>
      </c>
      <c r="EU254" s="62">
        <f t="shared" si="2902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903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 t="shared" si="2339"/>
        <v>1</v>
      </c>
      <c r="FS254" s="120" t="b">
        <f t="shared" si="2340"/>
        <v>1</v>
      </c>
      <c r="FT254" s="120" t="b">
        <f t="shared" si="2341"/>
        <v>1</v>
      </c>
      <c r="FU254" s="120" t="b">
        <f t="shared" si="2342"/>
        <v>1</v>
      </c>
      <c r="FV254" s="120" t="b">
        <f t="shared" si="2343"/>
        <v>1</v>
      </c>
      <c r="FW254" s="104" t="b">
        <f t="shared" si="2392"/>
        <v>0</v>
      </c>
      <c r="FX254" s="120" t="b">
        <f t="shared" si="2904"/>
        <v>1</v>
      </c>
      <c r="FY254" s="104" t="s">
        <v>368</v>
      </c>
      <c r="FZ254" s="104" t="b">
        <f t="shared" si="2905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906"/>
        <v>1</v>
      </c>
      <c r="GI254" s="8" t="b">
        <f t="shared" si="2907"/>
        <v>0</v>
      </c>
      <c r="GJ254" s="31" t="s">
        <v>203</v>
      </c>
    </row>
    <row r="255" spans="1:192" ht="30" hidden="1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51"/>
        <v>нет минмакс</v>
      </c>
      <c r="Q255" s="95">
        <v>0</v>
      </c>
      <c r="R255" s="95">
        <f t="shared" si="2852"/>
        <v>0</v>
      </c>
      <c r="S255" s="114">
        <v>464</v>
      </c>
      <c r="T255" s="114">
        <v>74648.319999999992</v>
      </c>
      <c r="U255" s="131">
        <f t="shared" si="2853"/>
        <v>0</v>
      </c>
      <c r="V255" s="115">
        <f t="shared" si="2854"/>
        <v>0</v>
      </c>
      <c r="W255" s="115">
        <f t="shared" si="2855"/>
        <v>0</v>
      </c>
      <c r="X255" s="115">
        <f t="shared" si="2856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57"/>
        <v>0</v>
      </c>
      <c r="AF255" s="95">
        <f t="shared" si="2858"/>
        <v>0</v>
      </c>
      <c r="AG255" s="114">
        <v>0</v>
      </c>
      <c r="AH255" s="95">
        <f t="shared" si="2859"/>
        <v>0</v>
      </c>
      <c r="AI255" s="114">
        <f t="shared" si="2860"/>
        <v>0</v>
      </c>
      <c r="AJ255" s="114">
        <f t="shared" si="2861"/>
        <v>469</v>
      </c>
      <c r="AK255" s="114">
        <f t="shared" si="2862"/>
        <v>469</v>
      </c>
      <c r="AL255" s="114">
        <f t="shared" si="2863"/>
        <v>469</v>
      </c>
      <c r="AM255" s="114">
        <f t="shared" si="2864"/>
        <v>0</v>
      </c>
      <c r="AN255" s="133" t="str">
        <f t="shared" si="2865"/>
        <v>нет оборота</v>
      </c>
      <c r="AO255" s="133" t="str">
        <f t="shared" si="2866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67"/>
        <v>нет остатка</v>
      </c>
      <c r="AW255" s="126">
        <f t="shared" si="2868"/>
        <v>0</v>
      </c>
      <c r="AX255" s="138"/>
      <c r="AY255" s="115">
        <f t="shared" si="2869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70"/>
        <v>0</v>
      </c>
      <c r="BG255" s="32">
        <v>0</v>
      </c>
      <c r="BH255" s="32">
        <f t="shared" si="2871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72"/>
        <v>0</v>
      </c>
      <c r="BR255" s="95">
        <f t="shared" si="2873"/>
        <v>0</v>
      </c>
      <c r="BS255" s="133">
        <f t="shared" ref="BS255:BW259" si="2909">BR255-BL255</f>
        <v>0</v>
      </c>
      <c r="BT255" s="133">
        <f t="shared" si="2909"/>
        <v>0</v>
      </c>
      <c r="BU255" s="133">
        <f t="shared" si="2909"/>
        <v>0</v>
      </c>
      <c r="BV255" s="133">
        <f t="shared" si="2909"/>
        <v>0</v>
      </c>
      <c r="BW255" s="133">
        <f t="shared" si="2909"/>
        <v>0</v>
      </c>
      <c r="BX255" s="133">
        <f t="shared" ref="BX255:CO256" si="2910">BW255-$BQ255</f>
        <v>0</v>
      </c>
      <c r="BY255" s="133">
        <f t="shared" si="2910"/>
        <v>0</v>
      </c>
      <c r="BZ255" s="133">
        <f t="shared" si="2910"/>
        <v>0</v>
      </c>
      <c r="CA255" s="133">
        <f t="shared" si="2910"/>
        <v>0</v>
      </c>
      <c r="CB255" s="133">
        <f t="shared" si="2910"/>
        <v>0</v>
      </c>
      <c r="CC255" s="133">
        <f t="shared" si="2910"/>
        <v>0</v>
      </c>
      <c r="CD255" s="133">
        <f t="shared" si="2910"/>
        <v>0</v>
      </c>
      <c r="CE255" s="133">
        <f t="shared" si="2910"/>
        <v>0</v>
      </c>
      <c r="CF255" s="133">
        <f t="shared" si="2910"/>
        <v>0</v>
      </c>
      <c r="CG255" s="133">
        <f t="shared" si="2910"/>
        <v>0</v>
      </c>
      <c r="CH255" s="133">
        <f t="shared" si="2910"/>
        <v>0</v>
      </c>
      <c r="CI255" s="133">
        <f t="shared" si="2910"/>
        <v>0</v>
      </c>
      <c r="CJ255" s="133">
        <f t="shared" si="2910"/>
        <v>0</v>
      </c>
      <c r="CK255" s="133">
        <f t="shared" si="2910"/>
        <v>0</v>
      </c>
      <c r="CL255" s="133">
        <f t="shared" si="2910"/>
        <v>0</v>
      </c>
      <c r="CM255" s="133">
        <f t="shared" si="2910"/>
        <v>0</v>
      </c>
      <c r="CN255" s="133">
        <f t="shared" si="2910"/>
        <v>0</v>
      </c>
      <c r="CO255" s="133">
        <f t="shared" si="2910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74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75"/>
        <v>0</v>
      </c>
      <c r="DB255" s="4">
        <f t="shared" si="2876"/>
        <v>0</v>
      </c>
      <c r="DC255" s="4">
        <f t="shared" si="2877"/>
        <v>0</v>
      </c>
      <c r="DD255" s="136">
        <f t="shared" si="2878"/>
        <v>0</v>
      </c>
      <c r="DE255" s="31">
        <v>0</v>
      </c>
      <c r="DG255" s="31">
        <v>0</v>
      </c>
      <c r="DH255" s="48">
        <f t="shared" si="2879"/>
        <v>0</v>
      </c>
      <c r="DI255" s="62">
        <v>31.870999999999999</v>
      </c>
      <c r="DJ255" s="62">
        <v>5127.3919999999998</v>
      </c>
      <c r="DK255" s="48">
        <f t="shared" si="2880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81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82"/>
        <v>0</v>
      </c>
      <c r="DV255" s="62">
        <v>0</v>
      </c>
      <c r="DW255" s="62">
        <v>0</v>
      </c>
      <c r="DX255" s="62">
        <f t="shared" si="2883"/>
        <v>0</v>
      </c>
      <c r="DY255" s="62">
        <f t="shared" si="2884"/>
        <v>0</v>
      </c>
      <c r="DZ255" s="48">
        <f t="shared" si="2885"/>
        <v>0</v>
      </c>
      <c r="EA255" s="62">
        <f t="shared" si="2886"/>
        <v>0</v>
      </c>
      <c r="EB255" s="62">
        <f t="shared" si="2887"/>
        <v>0</v>
      </c>
      <c r="EC255" s="48">
        <f t="shared" si="2888"/>
        <v>0</v>
      </c>
      <c r="ED255" s="62">
        <f t="shared" si="2889"/>
        <v>0</v>
      </c>
      <c r="EE255" s="62">
        <f t="shared" si="2890"/>
        <v>0</v>
      </c>
      <c r="EF255" s="48">
        <f t="shared" si="2891"/>
        <v>0</v>
      </c>
      <c r="EG255" s="62">
        <f t="shared" si="2892"/>
        <v>0</v>
      </c>
      <c r="EH255" s="62">
        <f t="shared" si="2893"/>
        <v>0</v>
      </c>
      <c r="EI255" s="48">
        <f t="shared" si="2894"/>
        <v>0</v>
      </c>
      <c r="EJ255" s="62">
        <f t="shared" si="2895"/>
        <v>0</v>
      </c>
      <c r="EK255" s="62">
        <f t="shared" si="2896"/>
        <v>0</v>
      </c>
      <c r="EL255" s="48">
        <f t="shared" si="2897"/>
        <v>0</v>
      </c>
      <c r="EM255" s="62">
        <f t="shared" si="2898"/>
        <v>0</v>
      </c>
      <c r="EN255" s="62">
        <f t="shared" si="2899"/>
        <v>0</v>
      </c>
      <c r="EO255" s="48">
        <f t="shared" si="2900"/>
        <v>0</v>
      </c>
      <c r="EP255" s="62">
        <f t="shared" si="2901"/>
        <v>0</v>
      </c>
      <c r="EQ255" s="62">
        <f t="shared" si="2901"/>
        <v>0</v>
      </c>
      <c r="ER255" s="62">
        <f t="shared" si="2901"/>
        <v>0</v>
      </c>
      <c r="ES255" s="62">
        <f t="shared" si="2902"/>
        <v>0</v>
      </c>
      <c r="ET255" s="62">
        <f t="shared" si="2902"/>
        <v>0</v>
      </c>
      <c r="EU255" s="62">
        <f t="shared" si="2902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903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 t="shared" si="2339"/>
        <v>1</v>
      </c>
      <c r="FS255" s="120" t="b">
        <f t="shared" si="2340"/>
        <v>1</v>
      </c>
      <c r="FT255" s="120" t="b">
        <f t="shared" si="2341"/>
        <v>1</v>
      </c>
      <c r="FU255" s="120" t="b">
        <f t="shared" si="2342"/>
        <v>1</v>
      </c>
      <c r="FV255" s="120" t="b">
        <f t="shared" si="2343"/>
        <v>1</v>
      </c>
      <c r="FW255" s="104" t="b">
        <f t="shared" si="2392"/>
        <v>0</v>
      </c>
      <c r="FX255" s="120" t="b">
        <f t="shared" si="2904"/>
        <v>1</v>
      </c>
      <c r="FY255" s="104" t="s">
        <v>368</v>
      </c>
      <c r="FZ255" s="104" t="b">
        <f t="shared" si="2905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906"/>
        <v>1</v>
      </c>
      <c r="GI255" s="8" t="b">
        <f t="shared" si="2907"/>
        <v>0</v>
      </c>
      <c r="GJ255" s="31" t="s">
        <v>203</v>
      </c>
    </row>
    <row r="256" spans="1:192" hidden="1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51"/>
        <v>в диапазоне</v>
      </c>
      <c r="Q256" s="95">
        <v>43815</v>
      </c>
      <c r="R256" s="95">
        <f t="shared" si="2852"/>
        <v>527532.6</v>
      </c>
      <c r="S256" s="131">
        <v>6315</v>
      </c>
      <c r="T256" s="131">
        <v>74390.7</v>
      </c>
      <c r="U256" s="131">
        <f t="shared" si="2853"/>
        <v>1.5</v>
      </c>
      <c r="V256" s="113">
        <f t="shared" si="2854"/>
        <v>43795</v>
      </c>
      <c r="W256" s="113">
        <f t="shared" si="2855"/>
        <v>527291.79999999993</v>
      </c>
      <c r="X256" s="113">
        <f t="shared" si="2856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57"/>
        <v>0</v>
      </c>
      <c r="AF256" s="95">
        <f t="shared" si="2858"/>
        <v>0</v>
      </c>
      <c r="AG256" s="114">
        <v>0</v>
      </c>
      <c r="AH256" s="95">
        <f t="shared" si="2859"/>
        <v>43795</v>
      </c>
      <c r="AI256" s="114">
        <f t="shared" si="2860"/>
        <v>527291.79999999993</v>
      </c>
      <c r="AJ256" s="133">
        <f t="shared" si="2861"/>
        <v>0</v>
      </c>
      <c r="AK256" s="133">
        <f t="shared" si="2862"/>
        <v>0</v>
      </c>
      <c r="AL256" s="133">
        <f t="shared" si="2863"/>
        <v>0</v>
      </c>
      <c r="AM256" s="133">
        <f t="shared" si="2864"/>
        <v>89018</v>
      </c>
      <c r="AN256" s="133">
        <f t="shared" si="2865"/>
        <v>12.769327551731109</v>
      </c>
      <c r="AO256" s="133" t="str">
        <f t="shared" si="2866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67"/>
        <v>0-04</v>
      </c>
      <c r="AW256" s="117">
        <f t="shared" si="2868"/>
        <v>0</v>
      </c>
      <c r="AX256" s="14"/>
      <c r="AY256" s="25">
        <f t="shared" si="2869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70"/>
        <v>0</v>
      </c>
      <c r="BG256" s="32">
        <v>0</v>
      </c>
      <c r="BH256" s="32">
        <f t="shared" si="2871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72"/>
        <v>14836.333333333334</v>
      </c>
      <c r="BR256" s="95">
        <f t="shared" si="2873"/>
        <v>34804</v>
      </c>
      <c r="BS256" s="133">
        <f t="shared" si="2909"/>
        <v>20011</v>
      </c>
      <c r="BT256" s="133">
        <f t="shared" si="2909"/>
        <v>4318</v>
      </c>
      <c r="BU256" s="133">
        <f t="shared" si="2909"/>
        <v>-11266</v>
      </c>
      <c r="BV256" s="133">
        <f t="shared" si="2909"/>
        <v>-27912</v>
      </c>
      <c r="BW256" s="133">
        <f t="shared" si="2909"/>
        <v>-45203</v>
      </c>
      <c r="BX256" s="133">
        <f t="shared" si="2910"/>
        <v>-60039.333333333336</v>
      </c>
      <c r="BY256" s="133">
        <f t="shared" si="2910"/>
        <v>-74875.666666666672</v>
      </c>
      <c r="BZ256" s="133">
        <f t="shared" si="2910"/>
        <v>-89712</v>
      </c>
      <c r="CA256" s="133">
        <f t="shared" si="2910"/>
        <v>-104548.33333333333</v>
      </c>
      <c r="CB256" s="133">
        <f t="shared" si="2910"/>
        <v>-119384.66666666666</v>
      </c>
      <c r="CC256" s="133">
        <f t="shared" si="2910"/>
        <v>-134221</v>
      </c>
      <c r="CD256" s="133">
        <f t="shared" si="2910"/>
        <v>-149057.33333333334</v>
      </c>
      <c r="CE256" s="133">
        <f t="shared" si="2910"/>
        <v>-163893.66666666669</v>
      </c>
      <c r="CF256" s="133">
        <f t="shared" si="2910"/>
        <v>-178730.00000000003</v>
      </c>
      <c r="CG256" s="133">
        <f t="shared" si="2910"/>
        <v>-193566.33333333337</v>
      </c>
      <c r="CH256" s="133">
        <f t="shared" si="2910"/>
        <v>-208402.66666666672</v>
      </c>
      <c r="CI256" s="133">
        <f t="shared" si="2910"/>
        <v>-223239.00000000006</v>
      </c>
      <c r="CJ256" s="133">
        <f t="shared" si="2910"/>
        <v>-238075.3333333334</v>
      </c>
      <c r="CK256" s="133">
        <f t="shared" si="2910"/>
        <v>-252911.66666666674</v>
      </c>
      <c r="CL256" s="133">
        <f t="shared" si="2910"/>
        <v>-267748.00000000006</v>
      </c>
      <c r="CM256" s="133">
        <f t="shared" si="2910"/>
        <v>-282584.33333333337</v>
      </c>
      <c r="CN256" s="133">
        <f t="shared" si="2910"/>
        <v>-297420.66666666669</v>
      </c>
      <c r="CO256" s="133">
        <f t="shared" si="2910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74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75"/>
        <v>0</v>
      </c>
      <c r="DB256" s="4">
        <f t="shared" si="2876"/>
        <v>0</v>
      </c>
      <c r="DC256" s="4">
        <f t="shared" si="2877"/>
        <v>0</v>
      </c>
      <c r="DD256" s="136">
        <f t="shared" si="2878"/>
        <v>0</v>
      </c>
      <c r="DE256" s="31">
        <v>0</v>
      </c>
      <c r="DF256" s="31">
        <v>30</v>
      </c>
      <c r="DG256" s="31">
        <v>0</v>
      </c>
      <c r="DH256" s="48">
        <f t="shared" si="2879"/>
        <v>0</v>
      </c>
      <c r="DI256" s="62">
        <v>6315</v>
      </c>
      <c r="DJ256" s="62">
        <v>74390.7</v>
      </c>
      <c r="DK256" s="48">
        <f t="shared" si="2880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81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82"/>
        <v>1.5</v>
      </c>
      <c r="DV256" s="62">
        <v>0</v>
      </c>
      <c r="DW256" s="62">
        <v>0</v>
      </c>
      <c r="DX256" s="62">
        <f t="shared" si="2883"/>
        <v>9011</v>
      </c>
      <c r="DY256" s="62">
        <f t="shared" si="2884"/>
        <v>108492.43999999999</v>
      </c>
      <c r="DZ256" s="48">
        <f t="shared" si="2885"/>
        <v>3</v>
      </c>
      <c r="EA256" s="62">
        <f t="shared" si="2886"/>
        <v>14793</v>
      </c>
      <c r="EB256" s="62">
        <f t="shared" si="2887"/>
        <v>178107.72</v>
      </c>
      <c r="EC256" s="48">
        <f t="shared" si="2888"/>
        <v>3</v>
      </c>
      <c r="ED256" s="62">
        <f t="shared" si="2889"/>
        <v>15693</v>
      </c>
      <c r="EE256" s="62">
        <f t="shared" si="2890"/>
        <v>188943.71999999997</v>
      </c>
      <c r="EF256" s="48">
        <f t="shared" si="2891"/>
        <v>4.5</v>
      </c>
      <c r="EG256" s="62">
        <f t="shared" si="2892"/>
        <v>15584</v>
      </c>
      <c r="EH256" s="62">
        <f t="shared" si="2893"/>
        <v>187631.35999999999</v>
      </c>
      <c r="EI256" s="48">
        <f t="shared" si="2894"/>
        <v>4.5</v>
      </c>
      <c r="EJ256" s="62">
        <f t="shared" si="2895"/>
        <v>16646</v>
      </c>
      <c r="EK256" s="62">
        <f t="shared" si="2896"/>
        <v>200417.84</v>
      </c>
      <c r="EL256" s="48">
        <f t="shared" si="2897"/>
        <v>4.5</v>
      </c>
      <c r="EM256" s="62">
        <f t="shared" si="2898"/>
        <v>17291</v>
      </c>
      <c r="EN256" s="62">
        <f t="shared" si="2899"/>
        <v>208183.63999999998</v>
      </c>
      <c r="EO256" s="48">
        <f t="shared" si="2900"/>
        <v>4.5</v>
      </c>
      <c r="EP256" s="62">
        <f t="shared" si="2901"/>
        <v>108492.43999999999</v>
      </c>
      <c r="EQ256" s="62">
        <f t="shared" si="2901"/>
        <v>178107.72</v>
      </c>
      <c r="ER256" s="62">
        <f t="shared" si="2901"/>
        <v>188943.71999999997</v>
      </c>
      <c r="ES256" s="62">
        <f t="shared" si="2902"/>
        <v>187631.35999999999</v>
      </c>
      <c r="ET256" s="62">
        <f t="shared" si="2902"/>
        <v>200417.84</v>
      </c>
      <c r="EU256" s="62">
        <f t="shared" si="2902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903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 t="shared" si="2339"/>
        <v>0</v>
      </c>
      <c r="FS256" s="103" t="b">
        <f t="shared" si="2340"/>
        <v>0</v>
      </c>
      <c r="FT256" s="103" t="b">
        <f t="shared" si="2341"/>
        <v>0</v>
      </c>
      <c r="FU256" s="103" t="b">
        <f t="shared" si="2342"/>
        <v>0</v>
      </c>
      <c r="FV256" s="103" t="b">
        <f t="shared" si="2343"/>
        <v>1</v>
      </c>
      <c r="FW256" s="104" t="b">
        <f t="shared" si="2392"/>
        <v>0</v>
      </c>
      <c r="FX256" s="120" t="b">
        <f t="shared" si="2904"/>
        <v>1</v>
      </c>
      <c r="FY256" s="104" t="s">
        <v>368</v>
      </c>
      <c r="FZ256" s="104" t="b">
        <f t="shared" si="2905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906"/>
        <v>1</v>
      </c>
      <c r="GI256" s="8" t="b">
        <f t="shared" si="2907"/>
        <v>0</v>
      </c>
      <c r="GJ256" s="31" t="s">
        <v>203</v>
      </c>
    </row>
    <row r="257" spans="1:192" hidden="1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51"/>
        <v>нет минмакс</v>
      </c>
      <c r="Q257" s="95">
        <v>29345</v>
      </c>
      <c r="R257" s="95">
        <f t="shared" si="2852"/>
        <v>23182.55</v>
      </c>
      <c r="S257" s="114">
        <v>90485</v>
      </c>
      <c r="T257" s="114">
        <v>71483.150000000009</v>
      </c>
      <c r="U257" s="131">
        <f t="shared" si="2853"/>
        <v>3</v>
      </c>
      <c r="V257" s="115">
        <f t="shared" si="2854"/>
        <v>11439</v>
      </c>
      <c r="W257" s="115">
        <f t="shared" si="2855"/>
        <v>9036.8100000000013</v>
      </c>
      <c r="X257" s="115">
        <f t="shared" si="2856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57"/>
        <v>0</v>
      </c>
      <c r="AF257" s="95">
        <f t="shared" si="2858"/>
        <v>0</v>
      </c>
      <c r="AG257" s="114">
        <v>0</v>
      </c>
      <c r="AH257" s="95">
        <f t="shared" si="2859"/>
        <v>11439</v>
      </c>
      <c r="AI257" s="114">
        <f t="shared" si="2860"/>
        <v>9036.8100000000013</v>
      </c>
      <c r="AJ257" s="114">
        <f t="shared" si="2861"/>
        <v>29285</v>
      </c>
      <c r="AK257" s="114">
        <f t="shared" si="2862"/>
        <v>88670</v>
      </c>
      <c r="AL257" s="114">
        <f t="shared" si="2863"/>
        <v>174090</v>
      </c>
      <c r="AM257" s="114">
        <f t="shared" si="2864"/>
        <v>183550</v>
      </c>
      <c r="AN257" s="133">
        <f t="shared" si="2865"/>
        <v>88.734949605012261</v>
      </c>
      <c r="AO257" s="133" t="str">
        <f t="shared" si="2866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67"/>
        <v>0-02</v>
      </c>
      <c r="AW257" s="126">
        <f t="shared" si="2868"/>
        <v>0</v>
      </c>
      <c r="AX257" s="138"/>
      <c r="AY257" s="115">
        <f t="shared" si="2869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70"/>
        <v>0</v>
      </c>
      <c r="BG257" s="32">
        <v>0</v>
      </c>
      <c r="BH257" s="32">
        <f t="shared" si="2871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72"/>
        <v>30591.666666666668</v>
      </c>
      <c r="BR257" s="95">
        <f t="shared" si="2873"/>
        <v>2617</v>
      </c>
      <c r="BS257" s="133">
        <f t="shared" si="2909"/>
        <v>-23347</v>
      </c>
      <c r="BT257" s="133">
        <f t="shared" si="2909"/>
        <v>-53991</v>
      </c>
      <c r="BU257" s="133">
        <f t="shared" si="2909"/>
        <v>-104210</v>
      </c>
      <c r="BV257" s="133">
        <f t="shared" si="2909"/>
        <v>-134351</v>
      </c>
      <c r="BW257" s="133">
        <f t="shared" si="2909"/>
        <v>-154205</v>
      </c>
      <c r="BX257" s="133">
        <f t="shared" ref="BX257:CO257" si="2911">BW257-$BQ257</f>
        <v>-184796.66666666666</v>
      </c>
      <c r="BY257" s="133">
        <f t="shared" si="2911"/>
        <v>-215388.33333333331</v>
      </c>
      <c r="BZ257" s="133">
        <f t="shared" si="2911"/>
        <v>-245979.99999999997</v>
      </c>
      <c r="CA257" s="133">
        <f t="shared" si="2911"/>
        <v>-276571.66666666663</v>
      </c>
      <c r="CB257" s="133">
        <f t="shared" si="2911"/>
        <v>-307163.33333333331</v>
      </c>
      <c r="CC257" s="133">
        <f t="shared" si="2911"/>
        <v>-337755</v>
      </c>
      <c r="CD257" s="133">
        <f t="shared" si="2911"/>
        <v>-368346.66666666669</v>
      </c>
      <c r="CE257" s="133">
        <f t="shared" si="2911"/>
        <v>-398938.33333333337</v>
      </c>
      <c r="CF257" s="133">
        <f t="shared" si="2911"/>
        <v>-429530.00000000006</v>
      </c>
      <c r="CG257" s="133">
        <f t="shared" si="2911"/>
        <v>-460121.66666666674</v>
      </c>
      <c r="CH257" s="133">
        <f t="shared" si="2911"/>
        <v>-490713.33333333343</v>
      </c>
      <c r="CI257" s="133">
        <f t="shared" si="2911"/>
        <v>-521305.00000000012</v>
      </c>
      <c r="CJ257" s="133">
        <f t="shared" si="2911"/>
        <v>-551896.66666666674</v>
      </c>
      <c r="CK257" s="133">
        <f t="shared" si="2911"/>
        <v>-582488.33333333337</v>
      </c>
      <c r="CL257" s="133">
        <f t="shared" si="2911"/>
        <v>-613080</v>
      </c>
      <c r="CM257" s="133">
        <f t="shared" si="2911"/>
        <v>-643671.66666666663</v>
      </c>
      <c r="CN257" s="133">
        <f t="shared" si="2911"/>
        <v>-674263.33333333326</v>
      </c>
      <c r="CO257" s="133">
        <f t="shared" si="2911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74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75"/>
        <v>0</v>
      </c>
      <c r="DB257" s="4">
        <f t="shared" si="2876"/>
        <v>0</v>
      </c>
      <c r="DC257" s="4">
        <f t="shared" si="2877"/>
        <v>0</v>
      </c>
      <c r="DD257" s="136">
        <f t="shared" si="2878"/>
        <v>0</v>
      </c>
      <c r="DE257" s="31">
        <v>0</v>
      </c>
      <c r="DG257" s="31">
        <v>0</v>
      </c>
      <c r="DH257" s="48">
        <f t="shared" si="2879"/>
        <v>0</v>
      </c>
      <c r="DI257" s="62">
        <v>123065.83900000001</v>
      </c>
      <c r="DJ257" s="62">
        <v>97584.04800000001</v>
      </c>
      <c r="DK257" s="48">
        <f t="shared" si="2880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81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82"/>
        <v>4</v>
      </c>
      <c r="DV257" s="62">
        <v>27530</v>
      </c>
      <c r="DW257" s="62">
        <v>21823.311733552633</v>
      </c>
      <c r="DX257" s="62">
        <f t="shared" si="2883"/>
        <v>0</v>
      </c>
      <c r="DY257" s="62">
        <f t="shared" si="2884"/>
        <v>0</v>
      </c>
      <c r="DZ257" s="48">
        <f t="shared" si="2885"/>
        <v>0</v>
      </c>
      <c r="EA257" s="62">
        <f t="shared" si="2886"/>
        <v>0</v>
      </c>
      <c r="EB257" s="62">
        <f t="shared" si="2887"/>
        <v>0</v>
      </c>
      <c r="EC257" s="48">
        <f t="shared" si="2888"/>
        <v>0</v>
      </c>
      <c r="ED257" s="62">
        <f t="shared" si="2889"/>
        <v>0</v>
      </c>
      <c r="EE257" s="62">
        <f t="shared" si="2890"/>
        <v>0</v>
      </c>
      <c r="EF257" s="48">
        <f t="shared" si="2891"/>
        <v>0</v>
      </c>
      <c r="EG257" s="62">
        <f t="shared" si="2892"/>
        <v>0</v>
      </c>
      <c r="EH257" s="62">
        <f t="shared" si="2893"/>
        <v>0</v>
      </c>
      <c r="EI257" s="48">
        <f t="shared" si="2894"/>
        <v>0</v>
      </c>
      <c r="EJ257" s="62">
        <f t="shared" si="2895"/>
        <v>0</v>
      </c>
      <c r="EK257" s="62">
        <f t="shared" si="2896"/>
        <v>0</v>
      </c>
      <c r="EL257" s="48">
        <f t="shared" si="2897"/>
        <v>0</v>
      </c>
      <c r="EM257" s="62">
        <f t="shared" si="2898"/>
        <v>0</v>
      </c>
      <c r="EN257" s="62">
        <f t="shared" si="2899"/>
        <v>0</v>
      </c>
      <c r="EO257" s="48">
        <f t="shared" si="2900"/>
        <v>0</v>
      </c>
      <c r="EP257" s="62">
        <f t="shared" si="2901"/>
        <v>21115.120000000003</v>
      </c>
      <c r="EQ257" s="62">
        <f t="shared" si="2901"/>
        <v>20511.560000000001</v>
      </c>
      <c r="ER257" s="62">
        <f t="shared" si="2901"/>
        <v>24208.760000000002</v>
      </c>
      <c r="ES257" s="62">
        <f t="shared" si="2902"/>
        <v>39673.01</v>
      </c>
      <c r="ET257" s="62">
        <f t="shared" si="2902"/>
        <v>23811.39</v>
      </c>
      <c r="EU257" s="62">
        <f t="shared" si="2902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903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 t="shared" si="2339"/>
        <v>1</v>
      </c>
      <c r="FS257" s="120" t="b">
        <f t="shared" si="2340"/>
        <v>1</v>
      </c>
      <c r="FT257" s="120" t="b">
        <f t="shared" si="2341"/>
        <v>1</v>
      </c>
      <c r="FU257" s="120" t="b">
        <f t="shared" si="2342"/>
        <v>1</v>
      </c>
      <c r="FV257" s="120" t="b">
        <f t="shared" si="2343"/>
        <v>1</v>
      </c>
      <c r="FW257" s="104" t="b">
        <f t="shared" si="2392"/>
        <v>0</v>
      </c>
      <c r="FX257" s="120" t="b">
        <f t="shared" si="2904"/>
        <v>1</v>
      </c>
      <c r="FY257" s="104" t="s">
        <v>368</v>
      </c>
      <c r="FZ257" s="104" t="b">
        <f t="shared" si="2905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906"/>
        <v>1</v>
      </c>
      <c r="GI257" s="8" t="b">
        <f t="shared" si="2907"/>
        <v>0</v>
      </c>
      <c r="GJ257" s="31" t="s">
        <v>203</v>
      </c>
    </row>
    <row r="258" spans="1:192" hidden="1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912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913">Q258*FH258</f>
        <v>12247.091132989526</v>
      </c>
      <c r="S258" s="114">
        <v>469.7310094833374</v>
      </c>
      <c r="T258" s="114">
        <v>69891.276901025762</v>
      </c>
      <c r="U258" s="131">
        <f t="shared" ref="U258:U262" si="2914">IFERROR(ROUNDUP(S258/$EX258,0)*$EY258,0)</f>
        <v>0</v>
      </c>
      <c r="V258" s="115">
        <f t="shared" ref="V258:V262" si="2915">SUM(Z258:AD258)</f>
        <v>0</v>
      </c>
      <c r="W258" s="115">
        <f t="shared" ref="W258:W262" si="2916">V258*FH258</f>
        <v>0</v>
      </c>
      <c r="X258" s="115">
        <f t="shared" ref="X258:X262" si="2917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918">AA258*FH258</f>
        <v>0</v>
      </c>
      <c r="AF258" s="95">
        <f t="shared" ref="AF258:AF262" si="2919">AB258*FH258</f>
        <v>0</v>
      </c>
      <c r="AG258" s="114">
        <v>0</v>
      </c>
      <c r="AH258" s="95">
        <f t="shared" ref="AH258:AH262" si="2920">V258-AG258</f>
        <v>0</v>
      </c>
      <c r="AI258" s="114">
        <f t="shared" ref="AI258:AI262" si="2921">IF(AH258&gt;0,AH258*FH258,0)</f>
        <v>0</v>
      </c>
      <c r="AJ258" s="114">
        <f t="shared" ref="AJ258:AJ262" si="2922">CU258</f>
        <v>133967</v>
      </c>
      <c r="AK258" s="114">
        <f t="shared" ref="AK258:AK263" si="2923">SUM(CS258:CU258)</f>
        <v>463782</v>
      </c>
      <c r="AL258" s="114">
        <f t="shared" ref="AL258:AL262" si="2924">SUM(CP258:CU258)</f>
        <v>709196</v>
      </c>
      <c r="AM258" s="114">
        <f t="shared" ref="AM258:AM262" si="2925">SUM(BK258:BP258)</f>
        <v>904358.41</v>
      </c>
      <c r="AN258" s="133">
        <f t="shared" ref="AN258:AN262" si="2926">IFERROR(S258/BQ258*30,"нет оборота")</f>
        <v>9.3493443276544227E-2</v>
      </c>
      <c r="AO258" s="133" t="str">
        <f t="shared" ref="AO258:AO262" si="2927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28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29">IF(AT258="Да",W258,0)</f>
        <v>0</v>
      </c>
      <c r="AX258" s="138"/>
      <c r="AY258" s="115">
        <f t="shared" ref="AY258:AY262" si="2930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31">BE258*FH258</f>
        <v>0</v>
      </c>
      <c r="BG258" s="32">
        <v>0</v>
      </c>
      <c r="BH258" s="32">
        <f t="shared" ref="BH258:BH262" si="2932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33">IF(COUNTIF(BK258:BP258,"&gt;0")=0,0,SUM(BK258:BP258)/COUNTIF(BK258:BP258,"&gt;0"))</f>
        <v>150726.40166666667</v>
      </c>
      <c r="BR258" s="95">
        <f t="shared" ref="BR258:BR262" si="2934">IF(OR(Q258=0,SUM(BK258:BP258)=0,V258&gt;Q258),V258-BK258,Q258-BK258)</f>
        <v>-149022.44499715566</v>
      </c>
      <c r="BS258" s="133">
        <f t="shared" si="2909"/>
        <v>-316545.25499715563</v>
      </c>
      <c r="BT258" s="133">
        <f t="shared" si="2909"/>
        <v>-479026.81499715563</v>
      </c>
      <c r="BU258" s="133">
        <f t="shared" si="2909"/>
        <v>-626668.29499715567</v>
      </c>
      <c r="BV258" s="133">
        <f t="shared" si="2909"/>
        <v>-770936.81499715568</v>
      </c>
      <c r="BW258" s="133">
        <f t="shared" si="2909"/>
        <v>-904267.4549971557</v>
      </c>
      <c r="BX258" s="133">
        <f t="shared" ref="BX258:CO258" si="2935">BW258-$BQ258</f>
        <v>-1054993.8566638224</v>
      </c>
      <c r="BY258" s="133">
        <f t="shared" si="2935"/>
        <v>-1205720.258330489</v>
      </c>
      <c r="BZ258" s="133">
        <f t="shared" si="2935"/>
        <v>-1356446.6599971557</v>
      </c>
      <c r="CA258" s="133">
        <f t="shared" si="2935"/>
        <v>-1507173.0616638223</v>
      </c>
      <c r="CB258" s="133">
        <f t="shared" si="2935"/>
        <v>-1657899.4633304889</v>
      </c>
      <c r="CC258" s="133">
        <f t="shared" si="2935"/>
        <v>-1808625.8649971555</v>
      </c>
      <c r="CD258" s="133">
        <f t="shared" si="2935"/>
        <v>-1959352.2666638221</v>
      </c>
      <c r="CE258" s="133">
        <f t="shared" si="2935"/>
        <v>-2110078.6683304887</v>
      </c>
      <c r="CF258" s="133">
        <f t="shared" si="2935"/>
        <v>-2260805.0699971556</v>
      </c>
      <c r="CG258" s="133">
        <f t="shared" si="2935"/>
        <v>-2411531.4716638224</v>
      </c>
      <c r="CH258" s="133">
        <f t="shared" si="2935"/>
        <v>-2562257.8733304893</v>
      </c>
      <c r="CI258" s="133">
        <f t="shared" si="2935"/>
        <v>-2712984.2749971561</v>
      </c>
      <c r="CJ258" s="133">
        <f t="shared" si="2935"/>
        <v>-2863710.676663823</v>
      </c>
      <c r="CK258" s="133">
        <f t="shared" si="2935"/>
        <v>-3014437.0783304898</v>
      </c>
      <c r="CL258" s="133">
        <f t="shared" si="2935"/>
        <v>-3165163.4799971567</v>
      </c>
      <c r="CM258" s="133">
        <f t="shared" si="2935"/>
        <v>-3315889.8816638235</v>
      </c>
      <c r="CN258" s="133">
        <f t="shared" si="2935"/>
        <v>-3466616.2833304903</v>
      </c>
      <c r="CO258" s="133">
        <f t="shared" si="2935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36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37">IFERROR(CZ258/CY258,0)</f>
        <v>0</v>
      </c>
      <c r="DB258" s="4">
        <f t="shared" ref="DB258:DB261" si="2938">CY258*FH258</f>
        <v>0</v>
      </c>
      <c r="DC258" s="4">
        <f t="shared" ref="DC258:DC261" si="2939">CZ258*FH258</f>
        <v>0</v>
      </c>
      <c r="DD258" s="136">
        <f t="shared" ref="DD258:DD261" si="2940">IFERROR(DC258/DB258,0)</f>
        <v>0</v>
      </c>
      <c r="DE258" s="31">
        <v>0</v>
      </c>
      <c r="DG258" s="31">
        <v>0</v>
      </c>
      <c r="DH258" s="48">
        <f t="shared" ref="DH258:DH262" si="2941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42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43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44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45">$DF258*BK258/30</f>
        <v>0</v>
      </c>
      <c r="DY258" s="62">
        <f t="shared" ref="DY258:DY262" si="2946">DX258*$FH258</f>
        <v>0</v>
      </c>
      <c r="DZ258" s="48">
        <f t="shared" ref="DZ258:DZ262" si="2947">IFERROR(ROUNDUP(DX258/$EX258,0)*$EY258,0)</f>
        <v>0</v>
      </c>
      <c r="EA258" s="62">
        <f t="shared" ref="EA258:EA262" si="2948">$DF258*BL258/30</f>
        <v>0</v>
      </c>
      <c r="EB258" s="62">
        <f t="shared" ref="EB258:EB262" si="2949">EA258*$FH258</f>
        <v>0</v>
      </c>
      <c r="EC258" s="48">
        <f t="shared" ref="EC258:EC262" si="2950">IFERROR(ROUNDUP(EA258/$EX258,0)*$EY258,0)</f>
        <v>0</v>
      </c>
      <c r="ED258" s="62">
        <f t="shared" ref="ED258:ED262" si="2951">$DF258*BM258/30</f>
        <v>0</v>
      </c>
      <c r="EE258" s="62">
        <f t="shared" ref="EE258:EE262" si="2952">ED258*$FH258</f>
        <v>0</v>
      </c>
      <c r="EF258" s="48">
        <f t="shared" ref="EF258:EF262" si="2953">IFERROR(ROUNDUP(ED258/$EX258,0)*$EY258,0)</f>
        <v>0</v>
      </c>
      <c r="EG258" s="62">
        <f t="shared" ref="EG258:EG262" si="2954">$DF258*BN258/30</f>
        <v>0</v>
      </c>
      <c r="EH258" s="62">
        <f t="shared" ref="EH258:EH262" si="2955">EG258*$FH258</f>
        <v>0</v>
      </c>
      <c r="EI258" s="48">
        <f t="shared" ref="EI258:EI262" si="2956">IFERROR(ROUNDUP(EG258/$EX258,0)*$EY258,0)</f>
        <v>0</v>
      </c>
      <c r="EJ258" s="62">
        <f t="shared" ref="EJ258:EJ262" si="2957">$DF258*BO258/30</f>
        <v>0</v>
      </c>
      <c r="EK258" s="62">
        <f t="shared" ref="EK258:EK262" si="2958">EJ258*$FH258</f>
        <v>0</v>
      </c>
      <c r="EL258" s="48">
        <f t="shared" ref="EL258:EL262" si="2959">IFERROR(ROUNDUP(EJ258/$EX258,0)*$EY258,0)</f>
        <v>0</v>
      </c>
      <c r="EM258" s="62">
        <f t="shared" ref="EM258:EM262" si="2960">$DF258*BP258/30</f>
        <v>0</v>
      </c>
      <c r="EN258" s="62">
        <f t="shared" ref="EN258:EN262" si="2961">EM258*$FH258</f>
        <v>0</v>
      </c>
      <c r="EO258" s="48">
        <f t="shared" ref="EO258:EO262" si="2962">IFERROR(ROUNDUP(EM258/$EX258,0)*$EY258,0)</f>
        <v>0</v>
      </c>
      <c r="EP258" s="62">
        <f t="shared" ref="EP258:EU260" si="2963">BK258*$FH258</f>
        <v>20078119.309999999</v>
      </c>
      <c r="EQ258" s="62">
        <f t="shared" si="2963"/>
        <v>22556946.366500001</v>
      </c>
      <c r="ER258" s="62">
        <f t="shared" si="2963"/>
        <v>21878142.054000001</v>
      </c>
      <c r="ES258" s="62">
        <f t="shared" si="2963"/>
        <v>19879925.282000002</v>
      </c>
      <c r="ET258" s="62">
        <f t="shared" si="2963"/>
        <v>19425756.217999998</v>
      </c>
      <c r="EU258" s="62">
        <f t="shared" si="2963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64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 t="shared" si="2339"/>
        <v>1</v>
      </c>
      <c r="FS258" s="120" t="b">
        <f t="shared" si="2340"/>
        <v>1</v>
      </c>
      <c r="FT258" s="120" t="b">
        <f t="shared" si="2341"/>
        <v>1</v>
      </c>
      <c r="FU258" s="120" t="b">
        <f t="shared" si="2342"/>
        <v>1</v>
      </c>
      <c r="FV258" s="120" t="b">
        <f t="shared" si="2343"/>
        <v>1</v>
      </c>
      <c r="FW258" s="104" t="b">
        <f t="shared" si="2392"/>
        <v>0</v>
      </c>
      <c r="FX258" s="120" t="b">
        <f t="shared" ref="FX258:FX262" si="2965">EXACT(FQ258,BI258)</f>
        <v>1</v>
      </c>
      <c r="FY258" s="104" t="s">
        <v>368</v>
      </c>
      <c r="FZ258" s="104" t="b">
        <f t="shared" ref="FZ258:FZ262" si="2966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67">EXACT(GD258,C258)</f>
        <v>1</v>
      </c>
      <c r="GI258" s="8" t="b">
        <f t="shared" ref="GI258:GI262" si="2968">EXACT(GG258,G258)</f>
        <v>0</v>
      </c>
      <c r="GJ258" s="31" t="s">
        <v>203</v>
      </c>
    </row>
    <row r="259" spans="1:192" hidden="1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912"/>
        <v>нет минмакс</v>
      </c>
      <c r="Q259" s="95">
        <v>74577</v>
      </c>
      <c r="R259" s="95">
        <f t="shared" si="2913"/>
        <v>220002.15000000002</v>
      </c>
      <c r="S259" s="114">
        <v>21791</v>
      </c>
      <c r="T259" s="114">
        <v>67987.92</v>
      </c>
      <c r="U259" s="131">
        <f t="shared" si="2914"/>
        <v>4</v>
      </c>
      <c r="V259" s="115">
        <f t="shared" si="2915"/>
        <v>23102</v>
      </c>
      <c r="W259" s="115">
        <f t="shared" si="2916"/>
        <v>68150.900000000009</v>
      </c>
      <c r="X259" s="115">
        <f t="shared" si="2917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918"/>
        <v>0</v>
      </c>
      <c r="AF259" s="95">
        <f t="shared" si="2919"/>
        <v>0</v>
      </c>
      <c r="AG259" s="114">
        <v>0</v>
      </c>
      <c r="AH259" s="95">
        <f t="shared" si="2920"/>
        <v>23102</v>
      </c>
      <c r="AI259" s="114">
        <f t="shared" si="2921"/>
        <v>68150.900000000009</v>
      </c>
      <c r="AJ259" s="114">
        <f t="shared" si="2922"/>
        <v>56673</v>
      </c>
      <c r="AK259" s="114">
        <f t="shared" si="2923"/>
        <v>289999</v>
      </c>
      <c r="AL259" s="114">
        <f t="shared" si="2924"/>
        <v>513720</v>
      </c>
      <c r="AM259" s="114">
        <f t="shared" si="2925"/>
        <v>569342</v>
      </c>
      <c r="AN259" s="133">
        <f t="shared" si="2926"/>
        <v>6.8893213569348486</v>
      </c>
      <c r="AO259" s="133" t="str">
        <f t="shared" si="2927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28"/>
        <v>0-01</v>
      </c>
      <c r="AW259" s="126">
        <f t="shared" si="2929"/>
        <v>0</v>
      </c>
      <c r="AX259" s="138"/>
      <c r="AY259" s="115">
        <f t="shared" si="2930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31"/>
        <v>0</v>
      </c>
      <c r="BG259" s="32">
        <v>0</v>
      </c>
      <c r="BH259" s="32">
        <f t="shared" si="2932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33"/>
        <v>94890.333333333328</v>
      </c>
      <c r="BR259" s="95">
        <f t="shared" si="2934"/>
        <v>-19640</v>
      </c>
      <c r="BS259" s="133">
        <f t="shared" si="2909"/>
        <v>-106725</v>
      </c>
      <c r="BT259" s="133">
        <f t="shared" si="2909"/>
        <v>-201770</v>
      </c>
      <c r="BU259" s="133">
        <f t="shared" si="2909"/>
        <v>-302958</v>
      </c>
      <c r="BV259" s="133">
        <f t="shared" si="2909"/>
        <v>-400156</v>
      </c>
      <c r="BW259" s="133">
        <f t="shared" si="2909"/>
        <v>-494765</v>
      </c>
      <c r="BX259" s="133">
        <f t="shared" ref="BX259:CO260" si="2969">BW259-$BQ259</f>
        <v>-589655.33333333337</v>
      </c>
      <c r="BY259" s="133">
        <f t="shared" si="2969"/>
        <v>-684545.66666666674</v>
      </c>
      <c r="BZ259" s="133">
        <f t="shared" si="2969"/>
        <v>-779436.00000000012</v>
      </c>
      <c r="CA259" s="133">
        <f t="shared" si="2969"/>
        <v>-874326.33333333349</v>
      </c>
      <c r="CB259" s="133">
        <f t="shared" si="2969"/>
        <v>-969216.66666666686</v>
      </c>
      <c r="CC259" s="133">
        <f t="shared" si="2969"/>
        <v>-1064107.0000000002</v>
      </c>
      <c r="CD259" s="133">
        <f t="shared" si="2969"/>
        <v>-1158997.3333333335</v>
      </c>
      <c r="CE259" s="133">
        <f t="shared" si="2969"/>
        <v>-1253887.6666666667</v>
      </c>
      <c r="CF259" s="133">
        <f t="shared" si="2969"/>
        <v>-1348778</v>
      </c>
      <c r="CG259" s="133">
        <f t="shared" si="2969"/>
        <v>-1443668.3333333333</v>
      </c>
      <c r="CH259" s="133">
        <f t="shared" si="2969"/>
        <v>-1538558.6666666665</v>
      </c>
      <c r="CI259" s="133">
        <f t="shared" si="2969"/>
        <v>-1633448.9999999998</v>
      </c>
      <c r="CJ259" s="133">
        <f t="shared" si="2969"/>
        <v>-1728339.333333333</v>
      </c>
      <c r="CK259" s="133">
        <f t="shared" si="2969"/>
        <v>-1823229.6666666663</v>
      </c>
      <c r="CL259" s="133">
        <f t="shared" si="2969"/>
        <v>-1918119.9999999995</v>
      </c>
      <c r="CM259" s="133">
        <f t="shared" si="2969"/>
        <v>-2013010.3333333328</v>
      </c>
      <c r="CN259" s="133">
        <f t="shared" si="2969"/>
        <v>-2107900.666666666</v>
      </c>
      <c r="CO259" s="133">
        <f t="shared" si="2969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36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37"/>
        <v>0</v>
      </c>
      <c r="DB259" s="4">
        <f t="shared" si="2938"/>
        <v>0</v>
      </c>
      <c r="DC259" s="4">
        <f t="shared" si="2939"/>
        <v>0</v>
      </c>
      <c r="DD259" s="136">
        <f t="shared" si="2940"/>
        <v>0</v>
      </c>
      <c r="DE259" s="31">
        <v>0</v>
      </c>
      <c r="DG259" s="31">
        <v>0</v>
      </c>
      <c r="DH259" s="48">
        <f t="shared" si="2941"/>
        <v>0</v>
      </c>
      <c r="DI259" s="62">
        <v>63397.387000000002</v>
      </c>
      <c r="DJ259" s="62">
        <v>184674.155</v>
      </c>
      <c r="DK259" s="48">
        <f t="shared" si="2942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43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44"/>
        <v>12</v>
      </c>
      <c r="DV259" s="62">
        <v>99793</v>
      </c>
      <c r="DW259" s="62">
        <v>310282.15869432373</v>
      </c>
      <c r="DX259" s="62">
        <f t="shared" si="2945"/>
        <v>0</v>
      </c>
      <c r="DY259" s="62">
        <f t="shared" si="2946"/>
        <v>0</v>
      </c>
      <c r="DZ259" s="48">
        <f t="shared" si="2947"/>
        <v>0</v>
      </c>
      <c r="EA259" s="62">
        <f t="shared" si="2948"/>
        <v>0</v>
      </c>
      <c r="EB259" s="62">
        <f t="shared" si="2949"/>
        <v>0</v>
      </c>
      <c r="EC259" s="48">
        <f t="shared" si="2950"/>
        <v>0</v>
      </c>
      <c r="ED259" s="62">
        <f t="shared" si="2951"/>
        <v>0</v>
      </c>
      <c r="EE259" s="62">
        <f t="shared" si="2952"/>
        <v>0</v>
      </c>
      <c r="EF259" s="48">
        <f t="shared" si="2953"/>
        <v>0</v>
      </c>
      <c r="EG259" s="62">
        <f t="shared" si="2954"/>
        <v>0</v>
      </c>
      <c r="EH259" s="62">
        <f t="shared" si="2955"/>
        <v>0</v>
      </c>
      <c r="EI259" s="48">
        <f t="shared" si="2956"/>
        <v>0</v>
      </c>
      <c r="EJ259" s="62">
        <f t="shared" si="2957"/>
        <v>0</v>
      </c>
      <c r="EK259" s="62">
        <f t="shared" si="2958"/>
        <v>0</v>
      </c>
      <c r="EL259" s="48">
        <f t="shared" si="2959"/>
        <v>0</v>
      </c>
      <c r="EM259" s="62">
        <f t="shared" si="2960"/>
        <v>0</v>
      </c>
      <c r="EN259" s="62">
        <f t="shared" si="2961"/>
        <v>0</v>
      </c>
      <c r="EO259" s="48">
        <f t="shared" si="2962"/>
        <v>0</v>
      </c>
      <c r="EP259" s="62">
        <f t="shared" si="2963"/>
        <v>277940.15000000002</v>
      </c>
      <c r="EQ259" s="62">
        <f t="shared" si="2963"/>
        <v>256900.75000000003</v>
      </c>
      <c r="ER259" s="62">
        <f t="shared" si="2963"/>
        <v>280382.75</v>
      </c>
      <c r="ES259" s="62">
        <f t="shared" si="2963"/>
        <v>298504.60000000003</v>
      </c>
      <c r="ET259" s="62">
        <f t="shared" si="2963"/>
        <v>286734.10000000003</v>
      </c>
      <c r="EU259" s="62">
        <f t="shared" si="2963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64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 t="shared" si="2339"/>
        <v>1</v>
      </c>
      <c r="FS259" s="120" t="b">
        <f t="shared" si="2340"/>
        <v>1</v>
      </c>
      <c r="FT259" s="120" t="b">
        <f t="shared" si="2341"/>
        <v>1</v>
      </c>
      <c r="FU259" s="120" t="b">
        <f t="shared" si="2342"/>
        <v>1</v>
      </c>
      <c r="FV259" s="120" t="b">
        <f t="shared" si="2343"/>
        <v>1</v>
      </c>
      <c r="FW259" s="104" t="b">
        <f t="shared" si="2392"/>
        <v>0</v>
      </c>
      <c r="FX259" s="120" t="b">
        <f t="shared" si="2965"/>
        <v>1</v>
      </c>
      <c r="FY259" s="104" t="s">
        <v>368</v>
      </c>
      <c r="FZ259" s="104" t="b">
        <f t="shared" si="2966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67"/>
        <v>1</v>
      </c>
      <c r="GI259" s="8" t="b">
        <f t="shared" si="2968"/>
        <v>0</v>
      </c>
      <c r="GJ259" s="31" t="s">
        <v>203</v>
      </c>
    </row>
    <row r="260" spans="1:192" hidden="1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912"/>
        <v>нет минмакс</v>
      </c>
      <c r="Q260" s="95">
        <v>469.11300659179688</v>
      </c>
      <c r="R260" s="95">
        <f t="shared" si="2913"/>
        <v>61167.644929504386</v>
      </c>
      <c r="S260" s="114">
        <v>421.01200103759766</v>
      </c>
      <c r="T260" s="114">
        <v>63004.445955276489</v>
      </c>
      <c r="U260" s="131">
        <f t="shared" si="2914"/>
        <v>0</v>
      </c>
      <c r="V260" s="115">
        <f t="shared" si="2915"/>
        <v>0</v>
      </c>
      <c r="W260" s="115">
        <f t="shared" si="2916"/>
        <v>0</v>
      </c>
      <c r="X260" s="115">
        <f t="shared" si="2917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918"/>
        <v>0</v>
      </c>
      <c r="AF260" s="95">
        <f t="shared" si="2919"/>
        <v>0</v>
      </c>
      <c r="AG260" s="114">
        <v>0</v>
      </c>
      <c r="AH260" s="95">
        <f t="shared" si="2920"/>
        <v>0</v>
      </c>
      <c r="AI260" s="114">
        <f t="shared" si="2921"/>
        <v>0</v>
      </c>
      <c r="AJ260" s="114">
        <f t="shared" si="2922"/>
        <v>50548</v>
      </c>
      <c r="AK260" s="114">
        <f t="shared" si="2923"/>
        <v>126884</v>
      </c>
      <c r="AL260" s="114">
        <f t="shared" si="2924"/>
        <v>327609</v>
      </c>
      <c r="AM260" s="114">
        <f t="shared" si="2925"/>
        <v>390387.95</v>
      </c>
      <c r="AN260" s="133">
        <f t="shared" si="2926"/>
        <v>0.19412013149168048</v>
      </c>
      <c r="AO260" s="133" t="str">
        <f t="shared" si="2927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28"/>
        <v>нет остатка</v>
      </c>
      <c r="AW260" s="126">
        <f t="shared" si="2929"/>
        <v>0</v>
      </c>
      <c r="AX260" s="138"/>
      <c r="AY260" s="115">
        <f t="shared" si="2930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31"/>
        <v>0</v>
      </c>
      <c r="BG260" s="32">
        <v>0</v>
      </c>
      <c r="BH260" s="32">
        <f t="shared" si="2932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33"/>
        <v>65064.658333333333</v>
      </c>
      <c r="BR260" s="95">
        <f t="shared" si="2934"/>
        <v>-51163.866993408206</v>
      </c>
      <c r="BS260" s="133">
        <f t="shared" ref="BS260:BW264" si="2970">BR260-BL260</f>
        <v>-105132.8569934082</v>
      </c>
      <c r="BT260" s="133">
        <f t="shared" si="2970"/>
        <v>-166360.3169934082</v>
      </c>
      <c r="BU260" s="133">
        <f t="shared" si="2970"/>
        <v>-243005.1969934082</v>
      </c>
      <c r="BV260" s="133">
        <f t="shared" si="2970"/>
        <v>-320349.45699340821</v>
      </c>
      <c r="BW260" s="133">
        <f t="shared" si="2970"/>
        <v>-389918.83699340821</v>
      </c>
      <c r="BX260" s="133">
        <f t="shared" si="2969"/>
        <v>-454983.49532674154</v>
      </c>
      <c r="BY260" s="133">
        <f t="shared" si="2969"/>
        <v>-520048.15366007487</v>
      </c>
      <c r="BZ260" s="133">
        <f t="shared" si="2969"/>
        <v>-585112.81199340825</v>
      </c>
      <c r="CA260" s="133">
        <f t="shared" si="2969"/>
        <v>-650177.47032674158</v>
      </c>
      <c r="CB260" s="133">
        <f t="shared" si="2969"/>
        <v>-715242.1286600749</v>
      </c>
      <c r="CC260" s="133">
        <f t="shared" si="2969"/>
        <v>-780306.78699340823</v>
      </c>
      <c r="CD260" s="133">
        <f t="shared" si="2969"/>
        <v>-845371.44532674155</v>
      </c>
      <c r="CE260" s="133">
        <f t="shared" si="2969"/>
        <v>-910436.10366007488</v>
      </c>
      <c r="CF260" s="133">
        <f t="shared" si="2969"/>
        <v>-975500.7619934082</v>
      </c>
      <c r="CG260" s="133">
        <f t="shared" si="2969"/>
        <v>-1040565.4203267415</v>
      </c>
      <c r="CH260" s="133">
        <f t="shared" si="2969"/>
        <v>-1105630.0786600749</v>
      </c>
      <c r="CI260" s="133">
        <f t="shared" si="2969"/>
        <v>-1170694.7369934083</v>
      </c>
      <c r="CJ260" s="133">
        <f t="shared" si="2969"/>
        <v>-1235759.3953267417</v>
      </c>
      <c r="CK260" s="133">
        <f t="shared" si="2969"/>
        <v>-1300824.0536600752</v>
      </c>
      <c r="CL260" s="133">
        <f t="shared" si="2969"/>
        <v>-1365888.7119934086</v>
      </c>
      <c r="CM260" s="133">
        <f t="shared" si="2969"/>
        <v>-1430953.3703267421</v>
      </c>
      <c r="CN260" s="133">
        <f t="shared" si="2969"/>
        <v>-1496018.0286600755</v>
      </c>
      <c r="CO260" s="133">
        <f t="shared" si="2969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36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37"/>
        <v>0</v>
      </c>
      <c r="DB260" s="4">
        <f t="shared" si="2938"/>
        <v>0</v>
      </c>
      <c r="DC260" s="4">
        <f t="shared" si="2939"/>
        <v>0</v>
      </c>
      <c r="DD260" s="136">
        <f t="shared" si="2940"/>
        <v>0</v>
      </c>
      <c r="DE260" s="31">
        <v>0</v>
      </c>
      <c r="DG260" s="31">
        <v>0</v>
      </c>
      <c r="DH260" s="48">
        <f t="shared" si="2941"/>
        <v>0</v>
      </c>
      <c r="DI260" s="62">
        <v>73.983999999999995</v>
      </c>
      <c r="DJ260" s="62">
        <v>10539.262999999999</v>
      </c>
      <c r="DK260" s="48">
        <f t="shared" si="2942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43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44"/>
        <v>0</v>
      </c>
      <c r="DV260" s="62">
        <v>69658.38999999997</v>
      </c>
      <c r="DW260" s="62">
        <v>10299423.241230374</v>
      </c>
      <c r="DX260" s="62">
        <f t="shared" si="2945"/>
        <v>0</v>
      </c>
      <c r="DY260" s="62">
        <f t="shared" si="2946"/>
        <v>0</v>
      </c>
      <c r="DZ260" s="48">
        <f t="shared" si="2947"/>
        <v>0</v>
      </c>
      <c r="EA260" s="62">
        <f t="shared" si="2948"/>
        <v>0</v>
      </c>
      <c r="EB260" s="62">
        <f t="shared" si="2949"/>
        <v>0</v>
      </c>
      <c r="EC260" s="48">
        <f t="shared" si="2950"/>
        <v>0</v>
      </c>
      <c r="ED260" s="62">
        <f t="shared" si="2951"/>
        <v>0</v>
      </c>
      <c r="EE260" s="62">
        <f t="shared" si="2952"/>
        <v>0</v>
      </c>
      <c r="EF260" s="48">
        <f t="shared" si="2953"/>
        <v>0</v>
      </c>
      <c r="EG260" s="62">
        <f t="shared" si="2954"/>
        <v>0</v>
      </c>
      <c r="EH260" s="62">
        <f t="shared" si="2955"/>
        <v>0</v>
      </c>
      <c r="EI260" s="48">
        <f t="shared" si="2956"/>
        <v>0</v>
      </c>
      <c r="EJ260" s="62">
        <f t="shared" si="2957"/>
        <v>0</v>
      </c>
      <c r="EK260" s="62">
        <f t="shared" si="2958"/>
        <v>0</v>
      </c>
      <c r="EL260" s="48">
        <f t="shared" si="2959"/>
        <v>0</v>
      </c>
      <c r="EM260" s="62">
        <f t="shared" si="2960"/>
        <v>0</v>
      </c>
      <c r="EN260" s="62">
        <f t="shared" si="2961"/>
        <v>0</v>
      </c>
      <c r="EO260" s="48">
        <f t="shared" si="2962"/>
        <v>0</v>
      </c>
      <c r="EP260" s="62">
        <f t="shared" si="2963"/>
        <v>6732424.2621999998</v>
      </c>
      <c r="EQ260" s="62">
        <f t="shared" si="2963"/>
        <v>7037016.6060999986</v>
      </c>
      <c r="ER260" s="62">
        <f t="shared" si="2963"/>
        <v>7983448.5093999989</v>
      </c>
      <c r="ES260" s="62">
        <f t="shared" si="2963"/>
        <v>9993725.9031999987</v>
      </c>
      <c r="ET260" s="62">
        <f t="shared" si="2963"/>
        <v>10084918.061399998</v>
      </c>
      <c r="EU260" s="62">
        <f t="shared" si="2963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64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 t="shared" si="2339"/>
        <v>1</v>
      </c>
      <c r="FS260" s="120" t="b">
        <f t="shared" si="2340"/>
        <v>1</v>
      </c>
      <c r="FT260" s="120" t="b">
        <f t="shared" si="2341"/>
        <v>1</v>
      </c>
      <c r="FU260" s="120" t="b">
        <f t="shared" si="2342"/>
        <v>1</v>
      </c>
      <c r="FV260" s="120" t="b">
        <f t="shared" si="2343"/>
        <v>1</v>
      </c>
      <c r="FW260" s="104" t="b">
        <f t="shared" si="2392"/>
        <v>0</v>
      </c>
      <c r="FX260" s="120" t="b">
        <f t="shared" si="2965"/>
        <v>1</v>
      </c>
      <c r="FY260" s="104" t="s">
        <v>368</v>
      </c>
      <c r="FZ260" s="104" t="b">
        <f t="shared" si="2966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67"/>
        <v>1</v>
      </c>
      <c r="GI260" s="8" t="b">
        <f t="shared" si="2968"/>
        <v>0</v>
      </c>
      <c r="GJ260" s="31" t="s">
        <v>203</v>
      </c>
    </row>
    <row r="261" spans="1:192" hidden="1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912"/>
        <v>нет минмакс</v>
      </c>
      <c r="Q261" s="95">
        <v>2198.1329868845642</v>
      </c>
      <c r="R261" s="95">
        <f t="shared" si="2913"/>
        <v>271117.72260234214</v>
      </c>
      <c r="S261" s="114">
        <v>458.07398962974548</v>
      </c>
      <c r="T261" s="114">
        <v>63301.244626934524</v>
      </c>
      <c r="U261" s="131">
        <f t="shared" si="2914"/>
        <v>0</v>
      </c>
      <c r="V261" s="115">
        <f t="shared" si="2915"/>
        <v>0</v>
      </c>
      <c r="W261" s="115">
        <f t="shared" si="2916"/>
        <v>0</v>
      </c>
      <c r="X261" s="115">
        <f t="shared" si="2917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918"/>
        <v>0</v>
      </c>
      <c r="AF261" s="95">
        <f t="shared" si="2919"/>
        <v>0</v>
      </c>
      <c r="AG261" s="114">
        <v>0</v>
      </c>
      <c r="AH261" s="95">
        <f t="shared" si="2920"/>
        <v>0</v>
      </c>
      <c r="AI261" s="114">
        <f t="shared" si="2921"/>
        <v>0</v>
      </c>
      <c r="AJ261" s="114">
        <f t="shared" si="2922"/>
        <v>583793</v>
      </c>
      <c r="AK261" s="114">
        <f t="shared" si="2923"/>
        <v>1548161</v>
      </c>
      <c r="AL261" s="114">
        <f t="shared" si="2924"/>
        <v>2856128</v>
      </c>
      <c r="AM261" s="114">
        <f t="shared" si="2925"/>
        <v>3959610.01</v>
      </c>
      <c r="AN261" s="133">
        <f t="shared" si="2926"/>
        <v>2.0823595739256705E-2</v>
      </c>
      <c r="AO261" s="133" t="str">
        <f t="shared" si="2927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28"/>
        <v>нет остатка</v>
      </c>
      <c r="AW261" s="126">
        <f t="shared" si="2929"/>
        <v>0</v>
      </c>
      <c r="AX261" s="138"/>
      <c r="AY261" s="115">
        <f t="shared" si="2930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31"/>
        <v>0</v>
      </c>
      <c r="BG261" s="32">
        <v>0</v>
      </c>
      <c r="BH261" s="32">
        <f t="shared" si="2932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33"/>
        <v>659935.00166666659</v>
      </c>
      <c r="BR261" s="95">
        <f t="shared" si="2934"/>
        <v>-439057.61701311544</v>
      </c>
      <c r="BS261" s="133">
        <f t="shared" si="2970"/>
        <v>-1213687.5670131154</v>
      </c>
      <c r="BT261" s="133">
        <f t="shared" si="2970"/>
        <v>-1796812.9970131153</v>
      </c>
      <c r="BU261" s="133">
        <f t="shared" si="2970"/>
        <v>-2418834.3870131155</v>
      </c>
      <c r="BV261" s="133">
        <f t="shared" si="2970"/>
        <v>-3208953.0870131152</v>
      </c>
      <c r="BW261" s="133">
        <f t="shared" si="2970"/>
        <v>-3957411.8770131152</v>
      </c>
      <c r="BX261" s="133">
        <f t="shared" ref="BX261:CO261" si="2971">BW261-$BQ261</f>
        <v>-4617346.8786797822</v>
      </c>
      <c r="BY261" s="133">
        <f t="shared" si="2971"/>
        <v>-5277281.8803464491</v>
      </c>
      <c r="BZ261" s="133">
        <f t="shared" si="2971"/>
        <v>-5937216.882013116</v>
      </c>
      <c r="CA261" s="133">
        <f t="shared" si="2971"/>
        <v>-6597151.883679783</v>
      </c>
      <c r="CB261" s="133">
        <f t="shared" si="2971"/>
        <v>-7257086.8853464499</v>
      </c>
      <c r="CC261" s="133">
        <f t="shared" si="2971"/>
        <v>-7917021.8870131169</v>
      </c>
      <c r="CD261" s="133">
        <f t="shared" si="2971"/>
        <v>-8576956.8886797838</v>
      </c>
      <c r="CE261" s="133">
        <f t="shared" si="2971"/>
        <v>-9236891.8903464507</v>
      </c>
      <c r="CF261" s="133">
        <f t="shared" si="2971"/>
        <v>-9896826.8920131177</v>
      </c>
      <c r="CG261" s="133">
        <f t="shared" si="2971"/>
        <v>-10556761.893679785</v>
      </c>
      <c r="CH261" s="133">
        <f t="shared" si="2971"/>
        <v>-11216696.895346452</v>
      </c>
      <c r="CI261" s="133">
        <f t="shared" si="2971"/>
        <v>-11876631.897013118</v>
      </c>
      <c r="CJ261" s="133">
        <f t="shared" si="2971"/>
        <v>-12536566.898679785</v>
      </c>
      <c r="CK261" s="133">
        <f t="shared" si="2971"/>
        <v>-13196501.900346452</v>
      </c>
      <c r="CL261" s="133">
        <f t="shared" si="2971"/>
        <v>-13856436.902013119</v>
      </c>
      <c r="CM261" s="133">
        <f t="shared" si="2971"/>
        <v>-14516371.903679786</v>
      </c>
      <c r="CN261" s="133">
        <f t="shared" si="2971"/>
        <v>-15176306.905346453</v>
      </c>
      <c r="CO261" s="133">
        <f t="shared" si="2971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36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37"/>
        <v>0</v>
      </c>
      <c r="DB261" s="4">
        <f t="shared" si="2938"/>
        <v>0</v>
      </c>
      <c r="DC261" s="4">
        <f t="shared" si="2939"/>
        <v>0</v>
      </c>
      <c r="DD261" s="136">
        <f t="shared" si="2940"/>
        <v>0</v>
      </c>
      <c r="DE261" s="31">
        <v>0</v>
      </c>
      <c r="DG261" s="31">
        <v>0</v>
      </c>
      <c r="DH261" s="48">
        <f t="shared" si="2941"/>
        <v>0</v>
      </c>
      <c r="DI261" s="62">
        <v>100.60699999999999</v>
      </c>
      <c r="DJ261" s="62">
        <v>13531.79</v>
      </c>
      <c r="DK261" s="48">
        <f t="shared" si="2942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43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44"/>
        <v>0</v>
      </c>
      <c r="DV261" s="62">
        <v>442771.7379999999</v>
      </c>
      <c r="DW261" s="62">
        <v>60899470.046706326</v>
      </c>
      <c r="DX261" s="62">
        <f t="shared" si="2945"/>
        <v>0</v>
      </c>
      <c r="DY261" s="62">
        <f t="shared" si="2946"/>
        <v>0</v>
      </c>
      <c r="DZ261" s="48">
        <f t="shared" si="2947"/>
        <v>0</v>
      </c>
      <c r="EA261" s="62">
        <f t="shared" si="2948"/>
        <v>0</v>
      </c>
      <c r="EB261" s="62">
        <f t="shared" si="2949"/>
        <v>0</v>
      </c>
      <c r="EC261" s="48">
        <f t="shared" si="2950"/>
        <v>0</v>
      </c>
      <c r="ED261" s="62">
        <f t="shared" si="2951"/>
        <v>0</v>
      </c>
      <c r="EE261" s="62">
        <f t="shared" si="2952"/>
        <v>0</v>
      </c>
      <c r="EF261" s="48">
        <f t="shared" si="2953"/>
        <v>0</v>
      </c>
      <c r="EG261" s="62">
        <f t="shared" si="2954"/>
        <v>0</v>
      </c>
      <c r="EH261" s="62">
        <f t="shared" si="2955"/>
        <v>0</v>
      </c>
      <c r="EI261" s="48">
        <f t="shared" si="2956"/>
        <v>0</v>
      </c>
      <c r="EJ261" s="62">
        <f t="shared" si="2957"/>
        <v>0</v>
      </c>
      <c r="EK261" s="62">
        <f t="shared" si="2958"/>
        <v>0</v>
      </c>
      <c r="EL261" s="48">
        <f t="shared" si="2959"/>
        <v>0</v>
      </c>
      <c r="EM261" s="62">
        <f t="shared" si="2960"/>
        <v>0</v>
      </c>
      <c r="EN261" s="62">
        <f t="shared" si="2961"/>
        <v>0</v>
      </c>
      <c r="EO261" s="48">
        <f t="shared" si="2962"/>
        <v>0</v>
      </c>
      <c r="EP261" s="62">
        <f t="shared" ref="EP261:EU266" si="2972">BK261*$FH261</f>
        <v>54424484.204999998</v>
      </c>
      <c r="EQ261" s="62">
        <f t="shared" si="2972"/>
        <v>95542858.032999992</v>
      </c>
      <c r="ER261" s="62">
        <f t="shared" si="2972"/>
        <v>71922690.536200002</v>
      </c>
      <c r="ES261" s="62">
        <f t="shared" ref="ES261:EU265" si="2973">BN261*$FH261</f>
        <v>76720118.242600009</v>
      </c>
      <c r="ET261" s="62">
        <f t="shared" si="2973"/>
        <v>97453240.458000004</v>
      </c>
      <c r="EU261" s="62">
        <f t="shared" si="2973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64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 t="shared" si="2339"/>
        <v>1</v>
      </c>
      <c r="FS261" s="120" t="b">
        <f t="shared" si="2340"/>
        <v>1</v>
      </c>
      <c r="FT261" s="120" t="b">
        <f t="shared" si="2341"/>
        <v>1</v>
      </c>
      <c r="FU261" s="120" t="b">
        <f t="shared" si="2342"/>
        <v>1</v>
      </c>
      <c r="FV261" s="120" t="b">
        <f t="shared" si="2343"/>
        <v>1</v>
      </c>
      <c r="FW261" s="104" t="b">
        <f t="shared" si="2392"/>
        <v>0</v>
      </c>
      <c r="FX261" s="120" t="b">
        <f t="shared" si="2965"/>
        <v>1</v>
      </c>
      <c r="FY261" s="104" t="s">
        <v>368</v>
      </c>
      <c r="FZ261" s="104" t="b">
        <f t="shared" si="2966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67"/>
        <v>1</v>
      </c>
      <c r="GI261" s="8" t="b">
        <f t="shared" si="2968"/>
        <v>0</v>
      </c>
      <c r="GJ261" s="31" t="s">
        <v>203</v>
      </c>
    </row>
    <row r="262" spans="1:192" hidden="1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912"/>
        <v>нет минмакс</v>
      </c>
      <c r="Q262" s="95">
        <v>3389</v>
      </c>
      <c r="R262" s="95">
        <f t="shared" si="2913"/>
        <v>95332.569999999992</v>
      </c>
      <c r="S262" s="131">
        <v>2222</v>
      </c>
      <c r="T262" s="131">
        <v>61371.64</v>
      </c>
      <c r="U262" s="131">
        <f t="shared" si="2914"/>
        <v>5</v>
      </c>
      <c r="V262" s="113">
        <f t="shared" si="2915"/>
        <v>3389</v>
      </c>
      <c r="W262" s="113">
        <f t="shared" si="2916"/>
        <v>95332.569999999992</v>
      </c>
      <c r="X262" s="113">
        <f t="shared" si="2917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918"/>
        <v>0</v>
      </c>
      <c r="AF262" s="95">
        <f t="shared" si="2919"/>
        <v>0</v>
      </c>
      <c r="AG262" s="114">
        <v>0</v>
      </c>
      <c r="AH262" s="95">
        <f t="shared" si="2920"/>
        <v>3389</v>
      </c>
      <c r="AI262" s="114">
        <f t="shared" si="2921"/>
        <v>95332.569999999992</v>
      </c>
      <c r="AJ262" s="133">
        <f t="shared" si="2922"/>
        <v>913</v>
      </c>
      <c r="AK262" s="133">
        <f t="shared" si="2923"/>
        <v>913</v>
      </c>
      <c r="AL262" s="133">
        <f t="shared" si="2924"/>
        <v>1553</v>
      </c>
      <c r="AM262" s="133">
        <f t="shared" si="2925"/>
        <v>3070</v>
      </c>
      <c r="AN262" s="133">
        <f t="shared" si="2926"/>
        <v>108.56677524429966</v>
      </c>
      <c r="AO262" s="133" t="str">
        <f t="shared" si="2927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28"/>
        <v>0-07</v>
      </c>
      <c r="AW262" s="117">
        <f t="shared" si="2929"/>
        <v>95332.569999999992</v>
      </c>
      <c r="AX262" s="14">
        <f>MONTH(BC262)-6</f>
        <v>4</v>
      </c>
      <c r="AY262" s="25">
        <f t="shared" si="2930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31"/>
        <v>0</v>
      </c>
      <c r="BG262" s="32">
        <v>0</v>
      </c>
      <c r="BH262" s="32">
        <f t="shared" si="2932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33"/>
        <v>614</v>
      </c>
      <c r="BR262" s="95">
        <f t="shared" si="2934"/>
        <v>2309</v>
      </c>
      <c r="BS262" s="133">
        <f t="shared" si="2970"/>
        <v>2309</v>
      </c>
      <c r="BT262" s="133">
        <f t="shared" si="2970"/>
        <v>1949</v>
      </c>
      <c r="BU262" s="133">
        <f t="shared" si="2970"/>
        <v>1589</v>
      </c>
      <c r="BV262" s="133">
        <f t="shared" si="2970"/>
        <v>869</v>
      </c>
      <c r="BW262" s="133">
        <f t="shared" si="2970"/>
        <v>319</v>
      </c>
      <c r="BX262" s="133">
        <f t="shared" ref="BX262:CO262" si="2974">BW262-$BQ262</f>
        <v>-295</v>
      </c>
      <c r="BY262" s="133">
        <f t="shared" si="2974"/>
        <v>-909</v>
      </c>
      <c r="BZ262" s="133">
        <f t="shared" si="2974"/>
        <v>-1523</v>
      </c>
      <c r="CA262" s="133">
        <f t="shared" si="2974"/>
        <v>-2137</v>
      </c>
      <c r="CB262" s="133">
        <f t="shared" si="2974"/>
        <v>-2751</v>
      </c>
      <c r="CC262" s="133">
        <f t="shared" si="2974"/>
        <v>-3365</v>
      </c>
      <c r="CD262" s="133">
        <f t="shared" si="2974"/>
        <v>-3979</v>
      </c>
      <c r="CE262" s="133">
        <f t="shared" si="2974"/>
        <v>-4593</v>
      </c>
      <c r="CF262" s="133">
        <f t="shared" si="2974"/>
        <v>-5207</v>
      </c>
      <c r="CG262" s="133">
        <f t="shared" si="2974"/>
        <v>-5821</v>
      </c>
      <c r="CH262" s="133">
        <f t="shared" si="2974"/>
        <v>-6435</v>
      </c>
      <c r="CI262" s="133">
        <f t="shared" si="2974"/>
        <v>-7049</v>
      </c>
      <c r="CJ262" s="133">
        <f t="shared" si="2974"/>
        <v>-7663</v>
      </c>
      <c r="CK262" s="133">
        <f t="shared" si="2974"/>
        <v>-8277</v>
      </c>
      <c r="CL262" s="133">
        <f t="shared" si="2974"/>
        <v>-8891</v>
      </c>
      <c r="CM262" s="133">
        <f t="shared" si="2974"/>
        <v>-9505</v>
      </c>
      <c r="CN262" s="133">
        <f t="shared" si="2974"/>
        <v>-10119</v>
      </c>
      <c r="CO262" s="133">
        <f t="shared" si="2974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36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75">IFERROR(CZ262/CY262,0)</f>
        <v>0</v>
      </c>
      <c r="DB262" s="4">
        <f t="shared" ref="DB262:DB267" si="2976">CY262*FH262</f>
        <v>0</v>
      </c>
      <c r="DC262" s="4">
        <f t="shared" ref="DC262:DC267" si="2977">CZ262*FH262</f>
        <v>0</v>
      </c>
      <c r="DD262" s="136">
        <f t="shared" ref="DD262:DD267" si="2978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41"/>
        <v>3</v>
      </c>
      <c r="DI262" s="62">
        <v>1070.29</v>
      </c>
      <c r="DJ262" s="62">
        <v>28930.744999999999</v>
      </c>
      <c r="DK262" s="48">
        <f t="shared" si="2942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43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44"/>
        <v>5</v>
      </c>
      <c r="DV262" s="62">
        <v>0</v>
      </c>
      <c r="DW262" s="62">
        <v>0</v>
      </c>
      <c r="DX262" s="62">
        <f t="shared" si="2945"/>
        <v>1080</v>
      </c>
      <c r="DY262" s="62">
        <f t="shared" si="2946"/>
        <v>30380.399999999998</v>
      </c>
      <c r="DZ262" s="48">
        <f t="shared" si="2947"/>
        <v>3</v>
      </c>
      <c r="EA262" s="62">
        <f t="shared" si="2948"/>
        <v>0</v>
      </c>
      <c r="EB262" s="62">
        <f t="shared" si="2949"/>
        <v>0</v>
      </c>
      <c r="EC262" s="48">
        <f t="shared" si="2950"/>
        <v>0</v>
      </c>
      <c r="ED262" s="62">
        <f t="shared" si="2951"/>
        <v>360</v>
      </c>
      <c r="EE262" s="62">
        <f t="shared" si="2952"/>
        <v>10126.799999999999</v>
      </c>
      <c r="EF262" s="48">
        <f t="shared" si="2953"/>
        <v>1</v>
      </c>
      <c r="EG262" s="62">
        <f t="shared" si="2954"/>
        <v>360</v>
      </c>
      <c r="EH262" s="62">
        <f t="shared" si="2955"/>
        <v>10126.799999999999</v>
      </c>
      <c r="EI262" s="48">
        <f t="shared" si="2956"/>
        <v>1</v>
      </c>
      <c r="EJ262" s="62">
        <f t="shared" si="2957"/>
        <v>720</v>
      </c>
      <c r="EK262" s="62">
        <f t="shared" si="2958"/>
        <v>20253.599999999999</v>
      </c>
      <c r="EL262" s="48">
        <f t="shared" si="2959"/>
        <v>2</v>
      </c>
      <c r="EM262" s="62">
        <f t="shared" si="2960"/>
        <v>550</v>
      </c>
      <c r="EN262" s="62">
        <f t="shared" si="2961"/>
        <v>15471.5</v>
      </c>
      <c r="EO262" s="48">
        <f t="shared" si="2962"/>
        <v>2</v>
      </c>
      <c r="EP262" s="62">
        <f t="shared" si="2972"/>
        <v>30380.399999999998</v>
      </c>
      <c r="EQ262" s="62">
        <f t="shared" si="2972"/>
        <v>0</v>
      </c>
      <c r="ER262" s="62">
        <f t="shared" si="2972"/>
        <v>10126.799999999999</v>
      </c>
      <c r="ES262" s="62">
        <f t="shared" si="2973"/>
        <v>10126.799999999999</v>
      </c>
      <c r="ET262" s="62">
        <f t="shared" si="2973"/>
        <v>20253.599999999999</v>
      </c>
      <c r="EU262" s="62">
        <f t="shared" si="2973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64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 t="shared" si="2339"/>
        <v>1</v>
      </c>
      <c r="FS262" s="103" t="b">
        <f t="shared" si="2340"/>
        <v>1</v>
      </c>
      <c r="FT262" s="103" t="b">
        <f t="shared" si="2341"/>
        <v>1</v>
      </c>
      <c r="FU262" s="103" t="b">
        <f t="shared" si="2342"/>
        <v>0</v>
      </c>
      <c r="FV262" s="103" t="b">
        <f t="shared" si="2343"/>
        <v>1</v>
      </c>
      <c r="FW262" s="104" t="b">
        <f t="shared" si="2392"/>
        <v>0</v>
      </c>
      <c r="FX262" s="120" t="b">
        <f t="shared" si="2965"/>
        <v>1</v>
      </c>
      <c r="FY262" s="104" t="s">
        <v>214</v>
      </c>
      <c r="FZ262" s="104" t="b">
        <f t="shared" si="2966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67"/>
        <v>1</v>
      </c>
      <c r="GI262" s="8" t="b">
        <f t="shared" si="2968"/>
        <v>0</v>
      </c>
    </row>
    <row r="263" spans="1:192" hidden="1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79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80">Q263*FH263</f>
        <v>257127.5713658045</v>
      </c>
      <c r="S263" s="114">
        <v>406.57799577713013</v>
      </c>
      <c r="T263" s="114">
        <v>59356.321603503231</v>
      </c>
      <c r="U263" s="131">
        <f t="shared" ref="U263:U267" si="2981">IFERROR(ROUNDUP(S263/$EX263,0)*$EY263,0)</f>
        <v>0</v>
      </c>
      <c r="V263" s="115">
        <f t="shared" ref="V263:V267" si="2982">SUM(Z263:AD263)</f>
        <v>0</v>
      </c>
      <c r="W263" s="115">
        <f t="shared" ref="W263:W267" si="2983">V263*FH263</f>
        <v>0</v>
      </c>
      <c r="X263" s="115">
        <f t="shared" ref="X263:X267" si="2984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85">AA263*FH263</f>
        <v>0</v>
      </c>
      <c r="AF263" s="95">
        <f t="shared" ref="AF263:AF267" si="2986">AB263*FH263</f>
        <v>0</v>
      </c>
      <c r="AG263" s="114">
        <v>0</v>
      </c>
      <c r="AH263" s="95">
        <f t="shared" ref="AH263:AH267" si="2987">V263-AG263</f>
        <v>0</v>
      </c>
      <c r="AI263" s="114">
        <f t="shared" ref="AI263:AI267" si="2988">IF(AH263&gt;0,AH263*FH263,0)</f>
        <v>0</v>
      </c>
      <c r="AJ263" s="114">
        <f t="shared" ref="AJ263:AJ267" si="2989">CU263</f>
        <v>363746</v>
      </c>
      <c r="AK263" s="114">
        <f t="shared" si="2923"/>
        <v>823859</v>
      </c>
      <c r="AL263" s="114">
        <f t="shared" ref="AL263:AL267" si="2990">SUM(CP263:CU263)</f>
        <v>1417115</v>
      </c>
      <c r="AM263" s="114">
        <f t="shared" ref="AM263:AM267" si="2991">SUM(BK263:BP263)</f>
        <v>1995597.2200000002</v>
      </c>
      <c r="AN263" s="133">
        <f t="shared" ref="AN263:AN267" si="2992">IFERROR(S263/BQ263*30,"нет оборота")</f>
        <v>3.6672750646487375E-2</v>
      </c>
      <c r="AO263" s="133" t="str">
        <f t="shared" ref="AO263:AO267" si="2993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94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95">IF(AT263="Да",W263,0)</f>
        <v>0</v>
      </c>
      <c r="AX263" s="138"/>
      <c r="AY263" s="115">
        <f t="shared" ref="AY263:AY267" si="2996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97">BE263*FH263</f>
        <v>0</v>
      </c>
      <c r="BG263" s="32">
        <v>0</v>
      </c>
      <c r="BH263" s="32">
        <f t="shared" ref="BH263:BH267" si="2998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99">IF(COUNTIF(BK263:BP263,"&gt;0")=0,0,SUM(BK263:BP263)/COUNTIF(BK263:BP263,"&gt;0"))</f>
        <v>332599.53666666668</v>
      </c>
      <c r="BR263" s="95">
        <f t="shared" ref="BR263:BR267" si="3000">IF(OR(Q263=0,SUM(BK263:BP263)=0,V263&gt;Q263),V263-BK263,Q263-BK263)</f>
        <v>-237311.64696076061</v>
      </c>
      <c r="BS263" s="133">
        <f t="shared" si="2970"/>
        <v>-665503.47696076066</v>
      </c>
      <c r="BT263" s="133">
        <f t="shared" si="2970"/>
        <v>-1034950.9469607606</v>
      </c>
      <c r="BU263" s="133">
        <f t="shared" si="2970"/>
        <v>-1333175.3469607607</v>
      </c>
      <c r="BV263" s="133">
        <f t="shared" si="2970"/>
        <v>-1704573.1469607607</v>
      </c>
      <c r="BW263" s="133">
        <f t="shared" si="2970"/>
        <v>-1993605.5269607608</v>
      </c>
      <c r="BX263" s="133">
        <f t="shared" ref="BX263:CO264" si="3001">BW263-$BQ263</f>
        <v>-2326205.0636274274</v>
      </c>
      <c r="BY263" s="133">
        <f t="shared" si="3001"/>
        <v>-2658804.6002940941</v>
      </c>
      <c r="BZ263" s="133">
        <f t="shared" si="3001"/>
        <v>-2991404.1369607607</v>
      </c>
      <c r="CA263" s="133">
        <f t="shared" si="3001"/>
        <v>-3324003.6736274273</v>
      </c>
      <c r="CB263" s="133">
        <f t="shared" si="3001"/>
        <v>-3656603.2102940939</v>
      </c>
      <c r="CC263" s="133">
        <f t="shared" si="3001"/>
        <v>-3989202.7469607606</v>
      </c>
      <c r="CD263" s="133">
        <f t="shared" si="3001"/>
        <v>-4321802.2836274272</v>
      </c>
      <c r="CE263" s="133">
        <f t="shared" si="3001"/>
        <v>-4654401.8202940943</v>
      </c>
      <c r="CF263" s="133">
        <f t="shared" si="3001"/>
        <v>-4987001.3569607614</v>
      </c>
      <c r="CG263" s="133">
        <f t="shared" si="3001"/>
        <v>-5319600.8936274284</v>
      </c>
      <c r="CH263" s="133">
        <f t="shared" si="3001"/>
        <v>-5652200.4302940955</v>
      </c>
      <c r="CI263" s="133">
        <f t="shared" si="3001"/>
        <v>-5984799.9669607626</v>
      </c>
      <c r="CJ263" s="133">
        <f t="shared" si="3001"/>
        <v>-6317399.5036274297</v>
      </c>
      <c r="CK263" s="133">
        <f t="shared" si="3001"/>
        <v>-6649999.0402940968</v>
      </c>
      <c r="CL263" s="133">
        <f t="shared" si="3001"/>
        <v>-6982598.5769607639</v>
      </c>
      <c r="CM263" s="133">
        <f t="shared" si="3001"/>
        <v>-7315198.113627431</v>
      </c>
      <c r="CN263" s="133">
        <f t="shared" si="3001"/>
        <v>-7647797.6502940981</v>
      </c>
      <c r="CO263" s="133">
        <f t="shared" si="3001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3002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75"/>
        <v>0</v>
      </c>
      <c r="DB263" s="4">
        <f t="shared" si="2976"/>
        <v>0</v>
      </c>
      <c r="DC263" s="4">
        <f t="shared" si="2977"/>
        <v>0</v>
      </c>
      <c r="DD263" s="136">
        <f t="shared" si="2978"/>
        <v>0</v>
      </c>
      <c r="DE263" s="31">
        <v>0</v>
      </c>
      <c r="DG263" s="31">
        <v>0</v>
      </c>
      <c r="DH263" s="48">
        <f t="shared" ref="DH263:DH267" si="3003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3004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3005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3006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3007">$DF263*BK263/30</f>
        <v>0</v>
      </c>
      <c r="DY263" s="62">
        <f t="shared" ref="DY263:DY267" si="3008">DX263*$FH263</f>
        <v>0</v>
      </c>
      <c r="DZ263" s="48">
        <f t="shared" ref="DZ263:DZ267" si="3009">IFERROR(ROUNDUP(DX263/$EX263,0)*$EY263,0)</f>
        <v>0</v>
      </c>
      <c r="EA263" s="62">
        <f t="shared" ref="EA263:EA267" si="3010">$DF263*BL263/30</f>
        <v>0</v>
      </c>
      <c r="EB263" s="62">
        <f t="shared" ref="EB263:EB267" si="3011">EA263*$FH263</f>
        <v>0</v>
      </c>
      <c r="EC263" s="48">
        <f t="shared" ref="EC263:EC267" si="3012">IFERROR(ROUNDUP(EA263/$EX263,0)*$EY263,0)</f>
        <v>0</v>
      </c>
      <c r="ED263" s="62">
        <f t="shared" ref="ED263:ED267" si="3013">$DF263*BM263/30</f>
        <v>0</v>
      </c>
      <c r="EE263" s="62">
        <f t="shared" ref="EE263:EE267" si="3014">ED263*$FH263</f>
        <v>0</v>
      </c>
      <c r="EF263" s="48">
        <f t="shared" ref="EF263:EF267" si="3015">IFERROR(ROUNDUP(ED263/$EX263,0)*$EY263,0)</f>
        <v>0</v>
      </c>
      <c r="EG263" s="62">
        <f t="shared" ref="EG263:EG267" si="3016">$DF263*BN263/30</f>
        <v>0</v>
      </c>
      <c r="EH263" s="62">
        <f t="shared" ref="EH263:EH267" si="3017">EG263*$FH263</f>
        <v>0</v>
      </c>
      <c r="EI263" s="48">
        <f t="shared" ref="EI263:EI267" si="3018">IFERROR(ROUNDUP(EG263/$EX263,0)*$EY263,0)</f>
        <v>0</v>
      </c>
      <c r="EJ263" s="62">
        <f t="shared" ref="EJ263:EJ267" si="3019">$DF263*BO263/30</f>
        <v>0</v>
      </c>
      <c r="EK263" s="62">
        <f t="shared" ref="EK263:EK267" si="3020">EJ263*$FH263</f>
        <v>0</v>
      </c>
      <c r="EL263" s="48">
        <f t="shared" ref="EL263:EL267" si="3021">IFERROR(ROUNDUP(EJ263/$EX263,0)*$EY263,0)</f>
        <v>0</v>
      </c>
      <c r="EM263" s="62">
        <f t="shared" ref="EM263:EM267" si="3022">$DF263*BP263/30</f>
        <v>0</v>
      </c>
      <c r="EN263" s="62">
        <f t="shared" ref="EN263:EN267" si="3023">EM263*$FH263</f>
        <v>0</v>
      </c>
      <c r="EO263" s="48">
        <f t="shared" ref="EO263:EO267" si="3024">IFERROR(ROUNDUP(EM263/$EX263,0)*$EY263,0)</f>
        <v>0</v>
      </c>
      <c r="EP263" s="62">
        <f t="shared" si="2972"/>
        <v>30894061.193999998</v>
      </c>
      <c r="EQ263" s="62">
        <f t="shared" si="2972"/>
        <v>55279565.252999999</v>
      </c>
      <c r="ER263" s="62">
        <f t="shared" si="2972"/>
        <v>47695668.376999997</v>
      </c>
      <c r="ES263" s="62">
        <f t="shared" si="2973"/>
        <v>38500770.039999999</v>
      </c>
      <c r="ET263" s="62">
        <f t="shared" si="2973"/>
        <v>47947455.979999997</v>
      </c>
      <c r="EU263" s="62">
        <f t="shared" si="2973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25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 t="shared" ref="FR263:FR326" si="3026">EXACT(FK263,BA263)</f>
        <v>1</v>
      </c>
      <c r="FS263" s="120" t="b">
        <f t="shared" ref="FS263:FS326" si="3027">EXACT(FL263,BB263)</f>
        <v>1</v>
      </c>
      <c r="FT263" s="120" t="b">
        <f t="shared" ref="FT263:FT326" si="3028">EXACT(FM263,BC263)</f>
        <v>1</v>
      </c>
      <c r="FU263" s="120" t="b">
        <f t="shared" ref="FU263:FU326" si="3029">EXACT(FN263,BD263)</f>
        <v>1</v>
      </c>
      <c r="FV263" s="120" t="b">
        <f t="shared" ref="FV263:FV326" si="3030">EXACT(FO263,BE263)</f>
        <v>1</v>
      </c>
      <c r="FW263" s="104" t="b">
        <f t="shared" si="2392"/>
        <v>0</v>
      </c>
      <c r="FX263" s="120" t="b">
        <f t="shared" ref="FX263:FX267" si="3031">EXACT(FQ263,BI263)</f>
        <v>1</v>
      </c>
      <c r="FY263" s="104" t="s">
        <v>368</v>
      </c>
      <c r="FZ263" s="104" t="b">
        <f t="shared" ref="FZ263:FZ267" si="3032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33">EXACT(GD263,C263)</f>
        <v>1</v>
      </c>
      <c r="GI263" s="8" t="b">
        <f t="shared" ref="GI263:GI267" si="3034">EXACT(GG263,G263)</f>
        <v>0</v>
      </c>
      <c r="GJ263" s="31" t="s">
        <v>203</v>
      </c>
    </row>
    <row r="264" spans="1:192" hidden="1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79"/>
        <v>нет минмакс</v>
      </c>
      <c r="Q264" s="95">
        <v>145936</v>
      </c>
      <c r="R264" s="95">
        <f t="shared" si="2980"/>
        <v>121126.87999999999</v>
      </c>
      <c r="S264" s="114">
        <v>71137</v>
      </c>
      <c r="T264" s="114">
        <v>59043.71</v>
      </c>
      <c r="U264" s="131">
        <f t="shared" si="2981"/>
        <v>3</v>
      </c>
      <c r="V264" s="115">
        <f t="shared" si="2982"/>
        <v>103936</v>
      </c>
      <c r="W264" s="115">
        <f t="shared" si="2983"/>
        <v>86266.87999999999</v>
      </c>
      <c r="X264" s="115">
        <f t="shared" si="2984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85"/>
        <v>0</v>
      </c>
      <c r="AF264" s="95">
        <f t="shared" si="2986"/>
        <v>0</v>
      </c>
      <c r="AG264" s="114">
        <v>0</v>
      </c>
      <c r="AH264" s="95">
        <f t="shared" si="2987"/>
        <v>103936</v>
      </c>
      <c r="AI264" s="114">
        <f t="shared" si="2988"/>
        <v>86266.87999999999</v>
      </c>
      <c r="AJ264" s="114">
        <f t="shared" si="2989"/>
        <v>75264</v>
      </c>
      <c r="AK264" s="114">
        <f t="shared" ref="AK264:AK270" si="3035">SUM(CS264:CU264)</f>
        <v>183746</v>
      </c>
      <c r="AL264" s="114">
        <f t="shared" si="2990"/>
        <v>250679</v>
      </c>
      <c r="AM264" s="114">
        <f t="shared" si="2991"/>
        <v>250553</v>
      </c>
      <c r="AN264" s="133">
        <f t="shared" si="2992"/>
        <v>51.105594425131606</v>
      </c>
      <c r="AO264" s="133" t="str">
        <f t="shared" si="2993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94"/>
        <v>0-04</v>
      </c>
      <c r="AW264" s="126">
        <f t="shared" si="2995"/>
        <v>0</v>
      </c>
      <c r="AX264" s="138"/>
      <c r="AY264" s="115">
        <f t="shared" si="2996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97"/>
        <v>0</v>
      </c>
      <c r="BG264" s="32">
        <v>0</v>
      </c>
      <c r="BH264" s="32">
        <f t="shared" si="2998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99"/>
        <v>41758.833333333336</v>
      </c>
      <c r="BR264" s="95">
        <f t="shared" si="3000"/>
        <v>118230</v>
      </c>
      <c r="BS264" s="133">
        <f t="shared" si="2970"/>
        <v>79881</v>
      </c>
      <c r="BT264" s="133">
        <f t="shared" si="2970"/>
        <v>31202</v>
      </c>
      <c r="BU264" s="133">
        <f t="shared" si="2970"/>
        <v>-24471</v>
      </c>
      <c r="BV264" s="133">
        <f t="shared" si="2970"/>
        <v>-72280</v>
      </c>
      <c r="BW264" s="133">
        <f t="shared" si="2970"/>
        <v>-104617</v>
      </c>
      <c r="BX264" s="133">
        <f t="shared" si="3001"/>
        <v>-146375.83333333334</v>
      </c>
      <c r="BY264" s="133">
        <f t="shared" si="3001"/>
        <v>-188134.66666666669</v>
      </c>
      <c r="BZ264" s="133">
        <f t="shared" si="3001"/>
        <v>-229893.50000000003</v>
      </c>
      <c r="CA264" s="133">
        <f t="shared" si="3001"/>
        <v>-271652.33333333337</v>
      </c>
      <c r="CB264" s="133">
        <f t="shared" si="3001"/>
        <v>-313411.16666666669</v>
      </c>
      <c r="CC264" s="133">
        <f t="shared" si="3001"/>
        <v>-355170</v>
      </c>
      <c r="CD264" s="133">
        <f t="shared" si="3001"/>
        <v>-396928.83333333331</v>
      </c>
      <c r="CE264" s="133">
        <f t="shared" si="3001"/>
        <v>-438687.66666666663</v>
      </c>
      <c r="CF264" s="133">
        <f t="shared" si="3001"/>
        <v>-480446.49999999994</v>
      </c>
      <c r="CG264" s="133">
        <f t="shared" si="3001"/>
        <v>-522205.33333333326</v>
      </c>
      <c r="CH264" s="133">
        <f t="shared" si="3001"/>
        <v>-563964.16666666663</v>
      </c>
      <c r="CI264" s="133">
        <f t="shared" si="3001"/>
        <v>-605723</v>
      </c>
      <c r="CJ264" s="133">
        <f t="shared" si="3001"/>
        <v>-647481.83333333337</v>
      </c>
      <c r="CK264" s="133">
        <f t="shared" si="3001"/>
        <v>-689240.66666666674</v>
      </c>
      <c r="CL264" s="133">
        <f t="shared" si="3001"/>
        <v>-730999.50000000012</v>
      </c>
      <c r="CM264" s="133">
        <f t="shared" si="3001"/>
        <v>-772758.33333333349</v>
      </c>
      <c r="CN264" s="133">
        <f t="shared" si="3001"/>
        <v>-814517.16666666686</v>
      </c>
      <c r="CO264" s="133">
        <f t="shared" si="3001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3002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75"/>
        <v>0</v>
      </c>
      <c r="DB264" s="4">
        <f t="shared" si="2976"/>
        <v>0</v>
      </c>
      <c r="DC264" s="4">
        <f t="shared" si="2977"/>
        <v>0</v>
      </c>
      <c r="DD264" s="136">
        <f t="shared" si="2978"/>
        <v>0</v>
      </c>
      <c r="DE264" s="31">
        <v>0</v>
      </c>
      <c r="DG264" s="31">
        <v>0</v>
      </c>
      <c r="DH264" s="48">
        <f t="shared" si="3003"/>
        <v>0</v>
      </c>
      <c r="DI264" s="62">
        <v>126925.031</v>
      </c>
      <c r="DJ264" s="62">
        <v>104552.726</v>
      </c>
      <c r="DK264" s="48">
        <f t="shared" si="3004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3005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3006"/>
        <v>3</v>
      </c>
      <c r="DV264" s="62">
        <v>20363</v>
      </c>
      <c r="DW264" s="62">
        <v>16838.862860000001</v>
      </c>
      <c r="DX264" s="62">
        <f t="shared" si="3007"/>
        <v>0</v>
      </c>
      <c r="DY264" s="62">
        <f t="shared" si="3008"/>
        <v>0</v>
      </c>
      <c r="DZ264" s="48">
        <f t="shared" si="3009"/>
        <v>0</v>
      </c>
      <c r="EA264" s="62">
        <f t="shared" si="3010"/>
        <v>0</v>
      </c>
      <c r="EB264" s="62">
        <f t="shared" si="3011"/>
        <v>0</v>
      </c>
      <c r="EC264" s="48">
        <f t="shared" si="3012"/>
        <v>0</v>
      </c>
      <c r="ED264" s="62">
        <f t="shared" si="3013"/>
        <v>0</v>
      </c>
      <c r="EE264" s="62">
        <f t="shared" si="3014"/>
        <v>0</v>
      </c>
      <c r="EF264" s="48">
        <f t="shared" si="3015"/>
        <v>0</v>
      </c>
      <c r="EG264" s="62">
        <f t="shared" si="3016"/>
        <v>0</v>
      </c>
      <c r="EH264" s="62">
        <f t="shared" si="3017"/>
        <v>0</v>
      </c>
      <c r="EI264" s="48">
        <f t="shared" si="3018"/>
        <v>0</v>
      </c>
      <c r="EJ264" s="62">
        <f t="shared" si="3019"/>
        <v>0</v>
      </c>
      <c r="EK264" s="62">
        <f t="shared" si="3020"/>
        <v>0</v>
      </c>
      <c r="EL264" s="48">
        <f t="shared" si="3021"/>
        <v>0</v>
      </c>
      <c r="EM264" s="62">
        <f t="shared" si="3022"/>
        <v>0</v>
      </c>
      <c r="EN264" s="62">
        <f t="shared" si="3023"/>
        <v>0</v>
      </c>
      <c r="EO264" s="48">
        <f t="shared" si="3024"/>
        <v>0</v>
      </c>
      <c r="EP264" s="62">
        <f t="shared" si="2972"/>
        <v>22995.98</v>
      </c>
      <c r="EQ264" s="62">
        <f t="shared" si="2972"/>
        <v>31829.67</v>
      </c>
      <c r="ER264" s="62">
        <f t="shared" si="2972"/>
        <v>40403.57</v>
      </c>
      <c r="ES264" s="62">
        <f t="shared" si="2973"/>
        <v>46208.59</v>
      </c>
      <c r="ET264" s="62">
        <f t="shared" si="2973"/>
        <v>39681.47</v>
      </c>
      <c r="EU264" s="62">
        <f t="shared" si="2973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25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 t="shared" si="3026"/>
        <v>1</v>
      </c>
      <c r="FS264" s="120" t="b">
        <f t="shared" si="3027"/>
        <v>1</v>
      </c>
      <c r="FT264" s="120" t="b">
        <f t="shared" si="3028"/>
        <v>1</v>
      </c>
      <c r="FU264" s="120" t="b">
        <f t="shared" si="3029"/>
        <v>1</v>
      </c>
      <c r="FV264" s="120" t="b">
        <f t="shared" si="3030"/>
        <v>1</v>
      </c>
      <c r="FW264" s="104" t="b">
        <f t="shared" ref="FW264:FW327" si="3036">EXACT(FP264,BG264)</f>
        <v>0</v>
      </c>
      <c r="FX264" s="120" t="b">
        <f t="shared" si="3031"/>
        <v>1</v>
      </c>
      <c r="FY264" s="104" t="s">
        <v>368</v>
      </c>
      <c r="FZ264" s="104" t="b">
        <f t="shared" si="3032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33"/>
        <v>1</v>
      </c>
      <c r="GI264" s="8" t="b">
        <f t="shared" si="3034"/>
        <v>0</v>
      </c>
      <c r="GJ264" s="31" t="s">
        <v>203</v>
      </c>
    </row>
    <row r="265" spans="1:192" hidden="1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79"/>
        <v>нет минмакс</v>
      </c>
      <c r="Q265" s="95">
        <v>37126</v>
      </c>
      <c r="R265" s="95">
        <f t="shared" si="2980"/>
        <v>47150.020000000004</v>
      </c>
      <c r="S265" s="114">
        <v>48199</v>
      </c>
      <c r="T265" s="114">
        <v>60730.74</v>
      </c>
      <c r="U265" s="131">
        <f t="shared" si="2981"/>
        <v>2</v>
      </c>
      <c r="V265" s="115">
        <f t="shared" si="2982"/>
        <v>95036</v>
      </c>
      <c r="W265" s="115">
        <f t="shared" si="2983"/>
        <v>120695.72</v>
      </c>
      <c r="X265" s="115">
        <f t="shared" si="2984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85"/>
        <v>0</v>
      </c>
      <c r="AF265" s="95">
        <f t="shared" si="2986"/>
        <v>0</v>
      </c>
      <c r="AG265" s="114">
        <v>0</v>
      </c>
      <c r="AH265" s="95">
        <f t="shared" si="2987"/>
        <v>95036</v>
      </c>
      <c r="AI265" s="114">
        <f t="shared" si="2988"/>
        <v>120695.72</v>
      </c>
      <c r="AJ265" s="114">
        <f t="shared" si="2989"/>
        <v>116853</v>
      </c>
      <c r="AK265" s="114">
        <f t="shared" si="3035"/>
        <v>431631</v>
      </c>
      <c r="AL265" s="114">
        <f t="shared" si="2990"/>
        <v>663581</v>
      </c>
      <c r="AM265" s="114">
        <f t="shared" si="2991"/>
        <v>793146</v>
      </c>
      <c r="AN265" s="133">
        <f t="shared" si="2992"/>
        <v>10.938490517508756</v>
      </c>
      <c r="AO265" s="133" t="str">
        <f t="shared" si="2993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94"/>
        <v>0-01</v>
      </c>
      <c r="AW265" s="126">
        <f t="shared" si="2995"/>
        <v>0</v>
      </c>
      <c r="AX265" s="138"/>
      <c r="AY265" s="115">
        <f t="shared" si="2996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97"/>
        <v>0</v>
      </c>
      <c r="BG265" s="32">
        <v>0</v>
      </c>
      <c r="BH265" s="32">
        <f t="shared" si="2998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99"/>
        <v>132191</v>
      </c>
      <c r="BR265" s="95">
        <f t="shared" si="3000"/>
        <v>-45032</v>
      </c>
      <c r="BS265" s="133">
        <f t="shared" ref="BS265:BW268" si="3037">BR265-BL265</f>
        <v>-190642</v>
      </c>
      <c r="BT265" s="133">
        <f t="shared" si="3037"/>
        <v>-347639</v>
      </c>
      <c r="BU265" s="133">
        <f t="shared" si="3037"/>
        <v>-515161</v>
      </c>
      <c r="BV265" s="133">
        <f t="shared" si="3037"/>
        <v>-620044</v>
      </c>
      <c r="BW265" s="133">
        <f t="shared" si="3037"/>
        <v>-698110</v>
      </c>
      <c r="BX265" s="133">
        <f t="shared" ref="BX265:CO266" si="3038">BW265-$BQ265</f>
        <v>-830301</v>
      </c>
      <c r="BY265" s="133">
        <f t="shared" si="3038"/>
        <v>-962492</v>
      </c>
      <c r="BZ265" s="133">
        <f t="shared" si="3038"/>
        <v>-1094683</v>
      </c>
      <c r="CA265" s="133">
        <f t="shared" si="3038"/>
        <v>-1226874</v>
      </c>
      <c r="CB265" s="133">
        <f t="shared" si="3038"/>
        <v>-1359065</v>
      </c>
      <c r="CC265" s="133">
        <f t="shared" si="3038"/>
        <v>-1491256</v>
      </c>
      <c r="CD265" s="133">
        <f t="shared" si="3038"/>
        <v>-1623447</v>
      </c>
      <c r="CE265" s="133">
        <f t="shared" si="3038"/>
        <v>-1755638</v>
      </c>
      <c r="CF265" s="133">
        <f t="shared" si="3038"/>
        <v>-1887829</v>
      </c>
      <c r="CG265" s="133">
        <f t="shared" si="3038"/>
        <v>-2020020</v>
      </c>
      <c r="CH265" s="133">
        <f t="shared" si="3038"/>
        <v>-2152211</v>
      </c>
      <c r="CI265" s="133">
        <f t="shared" si="3038"/>
        <v>-2284402</v>
      </c>
      <c r="CJ265" s="133">
        <f t="shared" si="3038"/>
        <v>-2416593</v>
      </c>
      <c r="CK265" s="133">
        <f t="shared" si="3038"/>
        <v>-2548784</v>
      </c>
      <c r="CL265" s="133">
        <f t="shared" si="3038"/>
        <v>-2680975</v>
      </c>
      <c r="CM265" s="133">
        <f t="shared" si="3038"/>
        <v>-2813166</v>
      </c>
      <c r="CN265" s="133">
        <f t="shared" si="3038"/>
        <v>-2945357</v>
      </c>
      <c r="CO265" s="133">
        <f t="shared" si="3038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3002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75"/>
        <v>0</v>
      </c>
      <c r="DB265" s="4">
        <f t="shared" si="2976"/>
        <v>0</v>
      </c>
      <c r="DC265" s="4">
        <f t="shared" si="2977"/>
        <v>0</v>
      </c>
      <c r="DD265" s="136">
        <f t="shared" si="2978"/>
        <v>0</v>
      </c>
      <c r="DE265" s="31">
        <v>0</v>
      </c>
      <c r="DG265" s="31">
        <v>0</v>
      </c>
      <c r="DH265" s="48">
        <f t="shared" si="3003"/>
        <v>0</v>
      </c>
      <c r="DI265" s="62">
        <v>46778.773999999998</v>
      </c>
      <c r="DJ265" s="62">
        <v>53618.156000000003</v>
      </c>
      <c r="DK265" s="48">
        <f t="shared" si="3004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3005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3006"/>
        <v>2</v>
      </c>
      <c r="DV265" s="62">
        <v>170497</v>
      </c>
      <c r="DW265" s="62">
        <v>196721.49447619161</v>
      </c>
      <c r="DX265" s="62">
        <f t="shared" si="3007"/>
        <v>0</v>
      </c>
      <c r="DY265" s="62">
        <f t="shared" si="3008"/>
        <v>0</v>
      </c>
      <c r="DZ265" s="48">
        <f t="shared" si="3009"/>
        <v>0</v>
      </c>
      <c r="EA265" s="62">
        <f t="shared" si="3010"/>
        <v>0</v>
      </c>
      <c r="EB265" s="62">
        <f t="shared" si="3011"/>
        <v>0</v>
      </c>
      <c r="EC265" s="48">
        <f t="shared" si="3012"/>
        <v>0</v>
      </c>
      <c r="ED265" s="62">
        <f t="shared" si="3013"/>
        <v>0</v>
      </c>
      <c r="EE265" s="62">
        <f t="shared" si="3014"/>
        <v>0</v>
      </c>
      <c r="EF265" s="48">
        <f t="shared" si="3015"/>
        <v>0</v>
      </c>
      <c r="EG265" s="62">
        <f t="shared" si="3016"/>
        <v>0</v>
      </c>
      <c r="EH265" s="62">
        <f t="shared" si="3017"/>
        <v>0</v>
      </c>
      <c r="EI265" s="48">
        <f t="shared" si="3018"/>
        <v>0</v>
      </c>
      <c r="EJ265" s="62">
        <f t="shared" si="3019"/>
        <v>0</v>
      </c>
      <c r="EK265" s="62">
        <f t="shared" si="3020"/>
        <v>0</v>
      </c>
      <c r="EL265" s="48">
        <f t="shared" si="3021"/>
        <v>0</v>
      </c>
      <c r="EM265" s="62">
        <f t="shared" si="3022"/>
        <v>0</v>
      </c>
      <c r="EN265" s="62">
        <f t="shared" si="3023"/>
        <v>0</v>
      </c>
      <c r="EO265" s="48">
        <f t="shared" si="3024"/>
        <v>0</v>
      </c>
      <c r="EP265" s="62">
        <f t="shared" si="2972"/>
        <v>177886.36000000002</v>
      </c>
      <c r="EQ265" s="62">
        <f t="shared" si="2972"/>
        <v>184924.7</v>
      </c>
      <c r="ER265" s="62">
        <f t="shared" si="2972"/>
        <v>199386.19</v>
      </c>
      <c r="ES265" s="62">
        <f t="shared" si="2973"/>
        <v>212752.94</v>
      </c>
      <c r="ET265" s="62">
        <f t="shared" si="2973"/>
        <v>133201.41</v>
      </c>
      <c r="EU265" s="62">
        <f t="shared" si="2973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25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 t="shared" si="3026"/>
        <v>1</v>
      </c>
      <c r="FS265" s="120" t="b">
        <f t="shared" si="3027"/>
        <v>1</v>
      </c>
      <c r="FT265" s="120" t="b">
        <f t="shared" si="3028"/>
        <v>1</v>
      </c>
      <c r="FU265" s="120" t="b">
        <f t="shared" si="3029"/>
        <v>1</v>
      </c>
      <c r="FV265" s="120" t="b">
        <f t="shared" si="3030"/>
        <v>1</v>
      </c>
      <c r="FW265" s="104" t="b">
        <f t="shared" si="3036"/>
        <v>0</v>
      </c>
      <c r="FX265" s="120" t="b">
        <f t="shared" si="3031"/>
        <v>1</v>
      </c>
      <c r="FY265" s="104" t="s">
        <v>368</v>
      </c>
      <c r="FZ265" s="104" t="b">
        <f t="shared" si="3032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33"/>
        <v>1</v>
      </c>
      <c r="GI265" s="8" t="b">
        <f t="shared" si="3034"/>
        <v>0</v>
      </c>
      <c r="GJ265" s="31" t="s">
        <v>203</v>
      </c>
    </row>
    <row r="266" spans="1:192" hidden="1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79"/>
        <v>нет минмакс</v>
      </c>
      <c r="Q266" s="95">
        <v>8572</v>
      </c>
      <c r="R266" s="95">
        <f t="shared" si="2980"/>
        <v>24515.919999999998</v>
      </c>
      <c r="S266" s="114">
        <v>18080</v>
      </c>
      <c r="T266" s="114">
        <v>55505.599999999999</v>
      </c>
      <c r="U266" s="131">
        <f t="shared" si="2981"/>
        <v>1</v>
      </c>
      <c r="V266" s="115">
        <f t="shared" si="2982"/>
        <v>69082</v>
      </c>
      <c r="W266" s="115">
        <f t="shared" si="2983"/>
        <v>197574.52</v>
      </c>
      <c r="X266" s="115">
        <f t="shared" si="2984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85"/>
        <v>0</v>
      </c>
      <c r="AF266" s="95">
        <f t="shared" si="2986"/>
        <v>0</v>
      </c>
      <c r="AG266" s="114">
        <v>0</v>
      </c>
      <c r="AH266" s="95">
        <f t="shared" si="2987"/>
        <v>69082</v>
      </c>
      <c r="AI266" s="114">
        <f t="shared" si="2988"/>
        <v>197574.52</v>
      </c>
      <c r="AJ266" s="114">
        <f t="shared" si="2989"/>
        <v>19171</v>
      </c>
      <c r="AK266" s="114">
        <f t="shared" si="3035"/>
        <v>77672</v>
      </c>
      <c r="AL266" s="114">
        <f t="shared" si="2990"/>
        <v>104477</v>
      </c>
      <c r="AM266" s="114">
        <f t="shared" si="2991"/>
        <v>148641</v>
      </c>
      <c r="AN266" s="133">
        <f t="shared" si="2992"/>
        <v>21.894362928128846</v>
      </c>
      <c r="AO266" s="133" t="str">
        <f t="shared" si="2993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94"/>
        <v>0-03</v>
      </c>
      <c r="AW266" s="126">
        <f t="shared" si="2995"/>
        <v>0</v>
      </c>
      <c r="AX266" s="138"/>
      <c r="AY266" s="115">
        <f t="shared" si="2996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97"/>
        <v>0</v>
      </c>
      <c r="BG266" s="32">
        <v>0</v>
      </c>
      <c r="BH266" s="32">
        <f t="shared" si="2998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99"/>
        <v>24773.5</v>
      </c>
      <c r="BR266" s="95">
        <f t="shared" si="3000"/>
        <v>36825</v>
      </c>
      <c r="BS266" s="133">
        <f t="shared" si="3037"/>
        <v>26505</v>
      </c>
      <c r="BT266" s="133">
        <f t="shared" si="3037"/>
        <v>-1878</v>
      </c>
      <c r="BU266" s="133">
        <f t="shared" si="3037"/>
        <v>-17216</v>
      </c>
      <c r="BV266" s="133">
        <f t="shared" si="3037"/>
        <v>-54227</v>
      </c>
      <c r="BW266" s="133">
        <f t="shared" si="3037"/>
        <v>-79559</v>
      </c>
      <c r="BX266" s="133">
        <f t="shared" si="3038"/>
        <v>-104332.5</v>
      </c>
      <c r="BY266" s="133">
        <f t="shared" si="3038"/>
        <v>-129106</v>
      </c>
      <c r="BZ266" s="133">
        <f t="shared" si="3038"/>
        <v>-153879.5</v>
      </c>
      <c r="CA266" s="133">
        <f t="shared" si="3038"/>
        <v>-178653</v>
      </c>
      <c r="CB266" s="133">
        <f t="shared" si="3038"/>
        <v>-203426.5</v>
      </c>
      <c r="CC266" s="133">
        <f t="shared" si="3038"/>
        <v>-228200</v>
      </c>
      <c r="CD266" s="133">
        <f t="shared" si="3038"/>
        <v>-252973.5</v>
      </c>
      <c r="CE266" s="133">
        <f t="shared" si="3038"/>
        <v>-277747</v>
      </c>
      <c r="CF266" s="133">
        <f t="shared" si="3038"/>
        <v>-302520.5</v>
      </c>
      <c r="CG266" s="133">
        <f t="shared" si="3038"/>
        <v>-327294</v>
      </c>
      <c r="CH266" s="133">
        <f t="shared" si="3038"/>
        <v>-352067.5</v>
      </c>
      <c r="CI266" s="133">
        <f t="shared" si="3038"/>
        <v>-376841</v>
      </c>
      <c r="CJ266" s="133">
        <f t="shared" si="3038"/>
        <v>-401614.5</v>
      </c>
      <c r="CK266" s="133">
        <f t="shared" si="3038"/>
        <v>-426388</v>
      </c>
      <c r="CL266" s="133">
        <f t="shared" si="3038"/>
        <v>-451161.5</v>
      </c>
      <c r="CM266" s="133">
        <f t="shared" si="3038"/>
        <v>-475935</v>
      </c>
      <c r="CN266" s="133">
        <f t="shared" si="3038"/>
        <v>-500708.5</v>
      </c>
      <c r="CO266" s="133">
        <f t="shared" si="3038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3002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75"/>
        <v>0</v>
      </c>
      <c r="DB266" s="4">
        <f t="shared" si="2976"/>
        <v>0</v>
      </c>
      <c r="DC266" s="4">
        <f t="shared" si="2977"/>
        <v>0</v>
      </c>
      <c r="DD266" s="136">
        <f t="shared" si="2978"/>
        <v>0</v>
      </c>
      <c r="DE266" s="31">
        <v>0</v>
      </c>
      <c r="DG266" s="31">
        <v>0</v>
      </c>
      <c r="DH266" s="48">
        <f t="shared" si="3003"/>
        <v>0</v>
      </c>
      <c r="DI266" s="62">
        <v>5030.1610000000001</v>
      </c>
      <c r="DJ266" s="62">
        <v>15185.567999999999</v>
      </c>
      <c r="DK266" s="48">
        <f t="shared" si="3004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3005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3006"/>
        <v>2</v>
      </c>
      <c r="DV266" s="62">
        <v>45397</v>
      </c>
      <c r="DW266" s="62">
        <v>138708.44753979583</v>
      </c>
      <c r="DX266" s="62">
        <f t="shared" si="3007"/>
        <v>0</v>
      </c>
      <c r="DY266" s="62">
        <f t="shared" si="3008"/>
        <v>0</v>
      </c>
      <c r="DZ266" s="48">
        <f t="shared" si="3009"/>
        <v>0</v>
      </c>
      <c r="EA266" s="62">
        <f t="shared" si="3010"/>
        <v>0</v>
      </c>
      <c r="EB266" s="62">
        <f t="shared" si="3011"/>
        <v>0</v>
      </c>
      <c r="EC266" s="48">
        <f t="shared" si="3012"/>
        <v>0</v>
      </c>
      <c r="ED266" s="62">
        <f t="shared" si="3013"/>
        <v>0</v>
      </c>
      <c r="EE266" s="62">
        <f t="shared" si="3014"/>
        <v>0</v>
      </c>
      <c r="EF266" s="48">
        <f t="shared" si="3015"/>
        <v>0</v>
      </c>
      <c r="EG266" s="62">
        <f t="shared" si="3016"/>
        <v>0</v>
      </c>
      <c r="EH266" s="62">
        <f t="shared" si="3017"/>
        <v>0</v>
      </c>
      <c r="EI266" s="48">
        <f t="shared" si="3018"/>
        <v>0</v>
      </c>
      <c r="EJ266" s="62">
        <f t="shared" si="3019"/>
        <v>0</v>
      </c>
      <c r="EK266" s="62">
        <f t="shared" si="3020"/>
        <v>0</v>
      </c>
      <c r="EL266" s="48">
        <f t="shared" si="3021"/>
        <v>0</v>
      </c>
      <c r="EM266" s="62">
        <f t="shared" si="3022"/>
        <v>0</v>
      </c>
      <c r="EN266" s="62">
        <f t="shared" si="3023"/>
        <v>0</v>
      </c>
      <c r="EO266" s="48">
        <f t="shared" si="3024"/>
        <v>0</v>
      </c>
      <c r="EP266" s="62">
        <f t="shared" si="2972"/>
        <v>92255.01999999999</v>
      </c>
      <c r="EQ266" s="62">
        <f t="shared" si="2972"/>
        <v>29515.199999999997</v>
      </c>
      <c r="ER266" s="62">
        <f t="shared" si="2972"/>
        <v>81175.37999999999</v>
      </c>
      <c r="ES266" s="62">
        <f t="shared" si="2972"/>
        <v>43866.68</v>
      </c>
      <c r="ET266" s="62">
        <f t="shared" si="2972"/>
        <v>105851.45999999999</v>
      </c>
      <c r="EU266" s="62">
        <f t="shared" si="2972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25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 t="shared" si="3026"/>
        <v>1</v>
      </c>
      <c r="FS266" s="120" t="b">
        <f t="shared" si="3027"/>
        <v>1</v>
      </c>
      <c r="FT266" s="120" t="b">
        <f t="shared" si="3028"/>
        <v>1</v>
      </c>
      <c r="FU266" s="120" t="b">
        <f t="shared" si="3029"/>
        <v>1</v>
      </c>
      <c r="FV266" s="120" t="b">
        <f t="shared" si="3030"/>
        <v>1</v>
      </c>
      <c r="FW266" s="104" t="b">
        <f t="shared" si="3036"/>
        <v>0</v>
      </c>
      <c r="FX266" s="120" t="b">
        <f t="shared" si="3031"/>
        <v>1</v>
      </c>
      <c r="FY266" s="104" t="s">
        <v>368</v>
      </c>
      <c r="FZ266" s="104" t="b">
        <f t="shared" si="3032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33"/>
        <v>1</v>
      </c>
      <c r="GI266" s="8" t="b">
        <f t="shared" si="3034"/>
        <v>0</v>
      </c>
      <c r="GJ266" s="31" t="s">
        <v>203</v>
      </c>
    </row>
    <row r="267" spans="1:192" ht="30" hidden="1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79"/>
        <v>нет минмакс</v>
      </c>
      <c r="Q267" s="95">
        <v>0</v>
      </c>
      <c r="R267" s="95">
        <f t="shared" si="2980"/>
        <v>0</v>
      </c>
      <c r="S267" s="131">
        <v>408</v>
      </c>
      <c r="T267" s="131">
        <v>52321.920000000006</v>
      </c>
      <c r="U267" s="131">
        <f t="shared" si="2981"/>
        <v>1.5</v>
      </c>
      <c r="V267" s="113">
        <f t="shared" si="2982"/>
        <v>0</v>
      </c>
      <c r="W267" s="113">
        <f t="shared" si="2983"/>
        <v>0</v>
      </c>
      <c r="X267" s="113">
        <f t="shared" si="2984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85"/>
        <v>0</v>
      </c>
      <c r="AF267" s="95">
        <f t="shared" si="2986"/>
        <v>0</v>
      </c>
      <c r="AG267" s="114">
        <v>0</v>
      </c>
      <c r="AH267" s="95">
        <f t="shared" si="2987"/>
        <v>0</v>
      </c>
      <c r="AI267" s="114">
        <f t="shared" si="2988"/>
        <v>0</v>
      </c>
      <c r="AJ267" s="133">
        <f t="shared" si="2989"/>
        <v>0</v>
      </c>
      <c r="AK267" s="133">
        <f t="shared" si="3035"/>
        <v>0</v>
      </c>
      <c r="AL267" s="133">
        <f t="shared" si="2990"/>
        <v>1048</v>
      </c>
      <c r="AM267" s="133">
        <f t="shared" si="2991"/>
        <v>294.03000000000003</v>
      </c>
      <c r="AN267" s="133">
        <f t="shared" si="2992"/>
        <v>249.77043158861338</v>
      </c>
      <c r="AO267" s="133" t="str">
        <f t="shared" si="2993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94"/>
        <v>нет остатка</v>
      </c>
      <c r="AW267" s="117">
        <f t="shared" si="2995"/>
        <v>0</v>
      </c>
      <c r="AX267" s="14"/>
      <c r="AY267" s="25">
        <f t="shared" si="2996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97"/>
        <v>0</v>
      </c>
      <c r="BG267" s="32">
        <v>0</v>
      </c>
      <c r="BH267" s="32">
        <f t="shared" si="2998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99"/>
        <v>49.005000000000003</v>
      </c>
      <c r="BR267" s="95">
        <f t="shared" si="3000"/>
        <v>-63.2</v>
      </c>
      <c r="BS267" s="133">
        <f t="shared" si="3037"/>
        <v>-118.13</v>
      </c>
      <c r="BT267" s="133">
        <f t="shared" si="3037"/>
        <v>-169.49</v>
      </c>
      <c r="BU267" s="133">
        <f t="shared" si="3037"/>
        <v>-249.41000000000003</v>
      </c>
      <c r="BV267" s="133">
        <f t="shared" si="3037"/>
        <v>-268.60000000000002</v>
      </c>
      <c r="BW267" s="133">
        <f t="shared" si="3037"/>
        <v>-294.03000000000003</v>
      </c>
      <c r="BX267" s="133">
        <f t="shared" ref="BX267:CO267" si="3039">BW267-$BQ267</f>
        <v>-343.03500000000003</v>
      </c>
      <c r="BY267" s="133">
        <f t="shared" si="3039"/>
        <v>-392.04</v>
      </c>
      <c r="BZ267" s="133">
        <f t="shared" si="3039"/>
        <v>-441.04500000000002</v>
      </c>
      <c r="CA267" s="133">
        <f t="shared" si="3039"/>
        <v>-490.05</v>
      </c>
      <c r="CB267" s="133">
        <f t="shared" si="3039"/>
        <v>-539.05500000000006</v>
      </c>
      <c r="CC267" s="133">
        <f t="shared" si="3039"/>
        <v>-588.06000000000006</v>
      </c>
      <c r="CD267" s="133">
        <f t="shared" si="3039"/>
        <v>-637.06500000000005</v>
      </c>
      <c r="CE267" s="133">
        <f t="shared" si="3039"/>
        <v>-686.07</v>
      </c>
      <c r="CF267" s="133">
        <f t="shared" si="3039"/>
        <v>-735.07500000000005</v>
      </c>
      <c r="CG267" s="133">
        <f t="shared" si="3039"/>
        <v>-784.08</v>
      </c>
      <c r="CH267" s="133">
        <f t="shared" si="3039"/>
        <v>-833.08500000000004</v>
      </c>
      <c r="CI267" s="133">
        <f t="shared" si="3039"/>
        <v>-882.09</v>
      </c>
      <c r="CJ267" s="133">
        <f t="shared" si="3039"/>
        <v>-931.09500000000003</v>
      </c>
      <c r="CK267" s="133">
        <f t="shared" si="3039"/>
        <v>-980.1</v>
      </c>
      <c r="CL267" s="133">
        <f t="shared" si="3039"/>
        <v>-1029.105</v>
      </c>
      <c r="CM267" s="133">
        <f t="shared" si="3039"/>
        <v>-1078.1100000000001</v>
      </c>
      <c r="CN267" s="133">
        <f t="shared" si="3039"/>
        <v>-1127.1150000000002</v>
      </c>
      <c r="CO267" s="133">
        <f t="shared" si="3039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3002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75"/>
        <v>0</v>
      </c>
      <c r="DB267" s="4">
        <f t="shared" si="2976"/>
        <v>0</v>
      </c>
      <c r="DC267" s="4">
        <f t="shared" si="2977"/>
        <v>0</v>
      </c>
      <c r="DD267" s="136">
        <f t="shared" si="2978"/>
        <v>0</v>
      </c>
      <c r="DE267" s="31">
        <v>0</v>
      </c>
      <c r="DF267" s="31">
        <v>25</v>
      </c>
      <c r="DG267" s="31">
        <v>0</v>
      </c>
      <c r="DH267" s="48">
        <f t="shared" si="3003"/>
        <v>0</v>
      </c>
      <c r="DI267" s="62">
        <v>1053.4839999999999</v>
      </c>
      <c r="DJ267" s="62">
        <v>135123.171</v>
      </c>
      <c r="DK267" s="48">
        <f t="shared" si="3004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3005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3006"/>
        <v>1.5</v>
      </c>
      <c r="DV267" s="62">
        <v>400</v>
      </c>
      <c r="DW267" s="62">
        <v>51296.198019801988</v>
      </c>
      <c r="DX267" s="62">
        <f t="shared" si="3007"/>
        <v>52.666666666666664</v>
      </c>
      <c r="DY267" s="62">
        <f t="shared" si="3008"/>
        <v>6753.9733333333334</v>
      </c>
      <c r="DZ267" s="48">
        <f t="shared" si="3009"/>
        <v>1.5</v>
      </c>
      <c r="EA267" s="62">
        <f t="shared" si="3010"/>
        <v>45.774999999999999</v>
      </c>
      <c r="EB267" s="62">
        <f t="shared" si="3011"/>
        <v>5870.1860000000006</v>
      </c>
      <c r="EC267" s="48">
        <f t="shared" si="3012"/>
        <v>1.5</v>
      </c>
      <c r="ED267" s="62">
        <f t="shared" si="3013"/>
        <v>42.8</v>
      </c>
      <c r="EE267" s="62">
        <f t="shared" si="3014"/>
        <v>5488.6719999999996</v>
      </c>
      <c r="EF267" s="48">
        <f t="shared" si="3015"/>
        <v>1.5</v>
      </c>
      <c r="EG267" s="62">
        <f t="shared" si="3016"/>
        <v>66.599999999999994</v>
      </c>
      <c r="EH267" s="62">
        <f t="shared" si="3017"/>
        <v>8540.7839999999997</v>
      </c>
      <c r="EI267" s="48">
        <f t="shared" si="3018"/>
        <v>1.5</v>
      </c>
      <c r="EJ267" s="62">
        <f t="shared" si="3019"/>
        <v>15.991666666666669</v>
      </c>
      <c r="EK267" s="62">
        <f t="shared" si="3020"/>
        <v>2050.7713333333336</v>
      </c>
      <c r="EL267" s="48">
        <f t="shared" si="3021"/>
        <v>1.5</v>
      </c>
      <c r="EM267" s="62">
        <f t="shared" si="3022"/>
        <v>21.191666666666666</v>
      </c>
      <c r="EN267" s="62">
        <f t="shared" si="3023"/>
        <v>2717.6193333333335</v>
      </c>
      <c r="EO267" s="48">
        <f t="shared" si="3024"/>
        <v>1.5</v>
      </c>
      <c r="EP267" s="62">
        <f t="shared" ref="EP267:EU270" si="3040">BK267*$FH267</f>
        <v>8104.7680000000009</v>
      </c>
      <c r="EQ267" s="62">
        <f t="shared" si="3040"/>
        <v>7044.2232000000004</v>
      </c>
      <c r="ER267" s="62">
        <f t="shared" si="3040"/>
        <v>6586.4064000000008</v>
      </c>
      <c r="ES267" s="62">
        <f t="shared" si="3040"/>
        <v>10248.9408</v>
      </c>
      <c r="ET267" s="62">
        <f t="shared" si="3040"/>
        <v>2460.9256000000005</v>
      </c>
      <c r="EU267" s="62">
        <f t="shared" si="3040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25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 t="shared" si="3026"/>
        <v>1</v>
      </c>
      <c r="FS267" s="103" t="b">
        <f t="shared" si="3027"/>
        <v>1</v>
      </c>
      <c r="FT267" s="103" t="b">
        <f t="shared" si="3028"/>
        <v>0</v>
      </c>
      <c r="FU267" s="103" t="b">
        <f t="shared" si="3029"/>
        <v>0</v>
      </c>
      <c r="FV267" s="103" t="b">
        <f t="shared" si="3030"/>
        <v>1</v>
      </c>
      <c r="FW267" s="104" t="b">
        <f t="shared" si="3036"/>
        <v>0</v>
      </c>
      <c r="FX267" s="120" t="b">
        <f t="shared" si="3031"/>
        <v>1</v>
      </c>
      <c r="FY267" s="104" t="s">
        <v>368</v>
      </c>
      <c r="FZ267" s="104" t="b">
        <f t="shared" si="3032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33"/>
        <v>1</v>
      </c>
      <c r="GI267" s="8" t="b">
        <f t="shared" si="3034"/>
        <v>0</v>
      </c>
      <c r="GJ267" s="31" t="s">
        <v>203</v>
      </c>
    </row>
    <row r="268" spans="1:192" hidden="1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41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42">Q268*FH268</f>
        <v>14026.74</v>
      </c>
      <c r="S268" s="114">
        <v>14000</v>
      </c>
      <c r="T268" s="114">
        <v>51380</v>
      </c>
      <c r="U268" s="131">
        <f t="shared" ref="U268:U272" si="3043">IFERROR(ROUNDUP(S268/$EX268,0)*$EY268,0)</f>
        <v>2</v>
      </c>
      <c r="V268" s="115">
        <f t="shared" ref="V268:V272" si="3044">SUM(Z268:AD268)</f>
        <v>0</v>
      </c>
      <c r="W268" s="115">
        <f t="shared" ref="W268:W272" si="3045">V268*FH268</f>
        <v>0</v>
      </c>
      <c r="X268" s="115">
        <f t="shared" ref="X268:X272" si="3046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47">AA268*FH268</f>
        <v>0</v>
      </c>
      <c r="AF268" s="95">
        <f t="shared" ref="AF268:AF272" si="3048">AB268*FH268</f>
        <v>0</v>
      </c>
      <c r="AG268" s="114">
        <v>0</v>
      </c>
      <c r="AH268" s="95">
        <f t="shared" ref="AH268:AH272" si="3049">V268-AG268</f>
        <v>0</v>
      </c>
      <c r="AI268" s="114">
        <f t="shared" ref="AI268:AI272" si="3050">IF(AH268&gt;0,AH268*FH268,0)</f>
        <v>0</v>
      </c>
      <c r="AJ268" s="114">
        <f t="shared" ref="AJ268:AJ272" si="3051">CU268</f>
        <v>2508</v>
      </c>
      <c r="AK268" s="114">
        <f t="shared" si="3035"/>
        <v>10178</v>
      </c>
      <c r="AL268" s="114">
        <f t="shared" ref="AL268:AL272" si="3052">SUM(CP268:CU268)</f>
        <v>20178</v>
      </c>
      <c r="AM268" s="114">
        <f t="shared" ref="AM268:AM272" si="3053">SUM(BK268:BP268)</f>
        <v>28379</v>
      </c>
      <c r="AN268" s="133">
        <f t="shared" ref="AN268:AN272" si="3054">IFERROR(S268/BQ268*30,"нет оборота")</f>
        <v>88.798054899749829</v>
      </c>
      <c r="AO268" s="133" t="str">
        <f t="shared" ref="AO268:AO272" si="3055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56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57">IF(AT268="Да",W268,0)</f>
        <v>0</v>
      </c>
      <c r="AX268" s="138"/>
      <c r="AY268" s="115">
        <f t="shared" ref="AY268:AY272" si="3058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59">BE268*FH268</f>
        <v>0</v>
      </c>
      <c r="BG268" s="32">
        <v>0</v>
      </c>
      <c r="BH268" s="32">
        <f t="shared" ref="BH268:BH272" si="3060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61">IF(COUNTIF(BK268:BP268,"&gt;0")=0,0,SUM(BK268:BP268)/COUNTIF(BK268:BP268,"&gt;0"))</f>
        <v>4729.833333333333</v>
      </c>
      <c r="BR268" s="95">
        <f t="shared" ref="BR268:BR272" si="3062">IF(OR(Q268=0,SUM(BK268:BP268)=0,V268&gt;Q268),V268-BK268,Q268-BK268)</f>
        <v>1392</v>
      </c>
      <c r="BS268" s="133">
        <f t="shared" si="3037"/>
        <v>-3514</v>
      </c>
      <c r="BT268" s="133">
        <f t="shared" si="3037"/>
        <v>-8460</v>
      </c>
      <c r="BU268" s="133">
        <f t="shared" si="3037"/>
        <v>-13805</v>
      </c>
      <c r="BV268" s="133">
        <f t="shared" si="3037"/>
        <v>-19270</v>
      </c>
      <c r="BW268" s="133">
        <f t="shared" si="3037"/>
        <v>-24557</v>
      </c>
      <c r="BX268" s="133">
        <f t="shared" ref="BX268:CO270" si="3063">BW268-$BQ268</f>
        <v>-29286.833333333332</v>
      </c>
      <c r="BY268" s="133">
        <f t="shared" si="3063"/>
        <v>-34016.666666666664</v>
      </c>
      <c r="BZ268" s="133">
        <f t="shared" si="3063"/>
        <v>-38746.5</v>
      </c>
      <c r="CA268" s="133">
        <f t="shared" si="3063"/>
        <v>-43476.333333333336</v>
      </c>
      <c r="CB268" s="133">
        <f t="shared" si="3063"/>
        <v>-48206.166666666672</v>
      </c>
      <c r="CC268" s="133">
        <f t="shared" si="3063"/>
        <v>-52936.000000000007</v>
      </c>
      <c r="CD268" s="133">
        <f t="shared" si="3063"/>
        <v>-57665.833333333343</v>
      </c>
      <c r="CE268" s="133">
        <f t="shared" si="3063"/>
        <v>-62395.666666666679</v>
      </c>
      <c r="CF268" s="133">
        <f t="shared" si="3063"/>
        <v>-67125.500000000015</v>
      </c>
      <c r="CG268" s="133">
        <f t="shared" si="3063"/>
        <v>-71855.333333333343</v>
      </c>
      <c r="CH268" s="133">
        <f t="shared" si="3063"/>
        <v>-76585.166666666672</v>
      </c>
      <c r="CI268" s="133">
        <f t="shared" si="3063"/>
        <v>-81315</v>
      </c>
      <c r="CJ268" s="133">
        <f t="shared" si="3063"/>
        <v>-86044.833333333328</v>
      </c>
      <c r="CK268" s="133">
        <f t="shared" si="3063"/>
        <v>-90774.666666666657</v>
      </c>
      <c r="CL268" s="133">
        <f t="shared" si="3063"/>
        <v>-95504.499999999985</v>
      </c>
      <c r="CM268" s="133">
        <f t="shared" si="3063"/>
        <v>-100234.33333333331</v>
      </c>
      <c r="CN268" s="133">
        <f t="shared" si="3063"/>
        <v>-104964.16666666664</v>
      </c>
      <c r="CO268" s="133">
        <f t="shared" si="3063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64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65">IFERROR(CZ268/CY268,0)</f>
        <v>0</v>
      </c>
      <c r="DB268" s="4">
        <f t="shared" ref="DB268:DB271" si="3066">CY268*FH268</f>
        <v>0</v>
      </c>
      <c r="DC268" s="4">
        <f t="shared" ref="DC268:DC271" si="3067">CZ268*FH268</f>
        <v>0</v>
      </c>
      <c r="DD268" s="136">
        <f t="shared" ref="DD268:DD271" si="3068">IFERROR(DC268/DB268,0)</f>
        <v>0</v>
      </c>
      <c r="DE268" s="31">
        <v>0</v>
      </c>
      <c r="DG268" s="31">
        <v>0</v>
      </c>
      <c r="DH268" s="48">
        <f t="shared" ref="DH268:DH272" si="3069">IFERROR(ROUNDUP(DG268/$EX268,0)*$EY268,0)</f>
        <v>0</v>
      </c>
      <c r="DI268" s="62">
        <v>14000</v>
      </c>
      <c r="DJ268" s="62">
        <v>51443.7</v>
      </c>
      <c r="DK268" s="48">
        <f t="shared" ref="DK268:DK272" si="3070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71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72">IFERROR(ROUNDUP(DS268/$EX268,0)*$EY268,0)</f>
        <v>2</v>
      </c>
      <c r="DV268" s="62">
        <v>0</v>
      </c>
      <c r="DW268" s="62">
        <v>0</v>
      </c>
      <c r="DX268" s="62">
        <f t="shared" ref="DX268:DX272" si="3073">$DF268*BK268/30</f>
        <v>0</v>
      </c>
      <c r="DY268" s="62">
        <f t="shared" ref="DY268:DY272" si="3074">DX268*$FH268</f>
        <v>0</v>
      </c>
      <c r="DZ268" s="48">
        <f t="shared" ref="DZ268:DZ272" si="3075">IFERROR(ROUNDUP(DX268/$EX268,0)*$EY268,0)</f>
        <v>0</v>
      </c>
      <c r="EA268" s="62">
        <f t="shared" ref="EA268:EA272" si="3076">$DF268*BL268/30</f>
        <v>0</v>
      </c>
      <c r="EB268" s="62">
        <f t="shared" ref="EB268:EB272" si="3077">EA268*$FH268</f>
        <v>0</v>
      </c>
      <c r="EC268" s="48">
        <f t="shared" ref="EC268:EC272" si="3078">IFERROR(ROUNDUP(EA268/$EX268,0)*$EY268,0)</f>
        <v>0</v>
      </c>
      <c r="ED268" s="62">
        <f t="shared" ref="ED268:ED272" si="3079">$DF268*BM268/30</f>
        <v>0</v>
      </c>
      <c r="EE268" s="62">
        <f t="shared" ref="EE268:EE272" si="3080">ED268*$FH268</f>
        <v>0</v>
      </c>
      <c r="EF268" s="48">
        <f t="shared" ref="EF268:EF272" si="3081">IFERROR(ROUNDUP(ED268/$EX268,0)*$EY268,0)</f>
        <v>0</v>
      </c>
      <c r="EG268" s="62">
        <f t="shared" ref="EG268:EG272" si="3082">$DF268*BN268/30</f>
        <v>0</v>
      </c>
      <c r="EH268" s="62">
        <f t="shared" ref="EH268:EH272" si="3083">EG268*$FH268</f>
        <v>0</v>
      </c>
      <c r="EI268" s="48">
        <f t="shared" ref="EI268:EI272" si="3084">IFERROR(ROUNDUP(EG268/$EX268,0)*$EY268,0)</f>
        <v>0</v>
      </c>
      <c r="EJ268" s="62">
        <f t="shared" ref="EJ268:EJ272" si="3085">$DF268*BO268/30</f>
        <v>0</v>
      </c>
      <c r="EK268" s="62">
        <f t="shared" ref="EK268:EK272" si="3086">EJ268*$FH268</f>
        <v>0</v>
      </c>
      <c r="EL268" s="48">
        <f t="shared" ref="EL268:EL272" si="3087">IFERROR(ROUNDUP(EJ268/$EX268,0)*$EY268,0)</f>
        <v>0</v>
      </c>
      <c r="EM268" s="62">
        <f t="shared" ref="EM268:EM272" si="3088">$DF268*BP268/30</f>
        <v>0</v>
      </c>
      <c r="EN268" s="62">
        <f t="shared" ref="EN268:EN272" si="3089">EM268*$FH268</f>
        <v>0</v>
      </c>
      <c r="EO268" s="48">
        <f t="shared" ref="EO268:EO272" si="3090">IFERROR(ROUNDUP(EM268/$EX268,0)*$EY268,0)</f>
        <v>0</v>
      </c>
      <c r="EP268" s="62">
        <f t="shared" si="3040"/>
        <v>8918.1</v>
      </c>
      <c r="EQ268" s="62">
        <f t="shared" si="3040"/>
        <v>18005.02</v>
      </c>
      <c r="ER268" s="62">
        <f t="shared" si="3040"/>
        <v>18151.82</v>
      </c>
      <c r="ES268" s="62">
        <f t="shared" si="3040"/>
        <v>19616.149999999998</v>
      </c>
      <c r="ET268" s="62">
        <f t="shared" si="3040"/>
        <v>20056.55</v>
      </c>
      <c r="EU268" s="62">
        <f t="shared" si="3040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91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 t="shared" si="3026"/>
        <v>1</v>
      </c>
      <c r="FS268" s="120" t="b">
        <f t="shared" si="3027"/>
        <v>1</v>
      </c>
      <c r="FT268" s="120" t="b">
        <f t="shared" si="3028"/>
        <v>1</v>
      </c>
      <c r="FU268" s="120" t="b">
        <f t="shared" si="3029"/>
        <v>1</v>
      </c>
      <c r="FV268" s="120" t="b">
        <f t="shared" si="3030"/>
        <v>1</v>
      </c>
      <c r="FW268" s="104" t="b">
        <f t="shared" si="3036"/>
        <v>0</v>
      </c>
      <c r="FX268" s="120" t="b">
        <f t="shared" ref="FX268:FX272" si="3092">EXACT(FQ268,BI268)</f>
        <v>1</v>
      </c>
      <c r="FY268" s="104" t="s">
        <v>368</v>
      </c>
      <c r="FZ268" s="104" t="b">
        <f t="shared" ref="FZ268:FZ272" si="3093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94">EXACT(GD268,C268)</f>
        <v>1</v>
      </c>
      <c r="GI268" s="8" t="b">
        <f t="shared" ref="GI268:GI272" si="3095">EXACT(GG268,G268)</f>
        <v>0</v>
      </c>
      <c r="GJ268" s="31" t="s">
        <v>203</v>
      </c>
    </row>
    <row r="269" spans="1:192" hidden="1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41"/>
        <v>нет минмакс</v>
      </c>
      <c r="Q269" s="95">
        <v>148.60000038146973</v>
      </c>
      <c r="R269" s="95">
        <f t="shared" si="3042"/>
        <v>51267.000131607056</v>
      </c>
      <c r="S269" s="131">
        <v>148.60000038146973</v>
      </c>
      <c r="T269" s="131">
        <v>51267.000131607056</v>
      </c>
      <c r="U269" s="131">
        <f t="shared" si="3043"/>
        <v>1.5</v>
      </c>
      <c r="V269" s="113">
        <f t="shared" si="3044"/>
        <v>127.60000038146973</v>
      </c>
      <c r="W269" s="113">
        <f t="shared" si="3045"/>
        <v>44022.000131607056</v>
      </c>
      <c r="X269" s="113">
        <f t="shared" si="3046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47"/>
        <v>0</v>
      </c>
      <c r="AF269" s="95">
        <f t="shared" si="3048"/>
        <v>0</v>
      </c>
      <c r="AG269" s="114">
        <v>0</v>
      </c>
      <c r="AH269" s="95">
        <f t="shared" si="3049"/>
        <v>127.60000038146973</v>
      </c>
      <c r="AI269" s="114">
        <f t="shared" si="3050"/>
        <v>44022.000131607056</v>
      </c>
      <c r="AJ269" s="133">
        <f t="shared" si="3051"/>
        <v>0</v>
      </c>
      <c r="AK269" s="133">
        <f t="shared" si="3035"/>
        <v>0</v>
      </c>
      <c r="AL269" s="133">
        <f t="shared" si="3052"/>
        <v>1</v>
      </c>
      <c r="AM269" s="133">
        <f t="shared" si="3053"/>
        <v>0</v>
      </c>
      <c r="AN269" s="133" t="str">
        <f t="shared" si="3054"/>
        <v>нет оборота</v>
      </c>
      <c r="AO269" s="133" t="str">
        <f t="shared" si="3055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56"/>
        <v>Нет планов</v>
      </c>
      <c r="AW269" s="117">
        <f t="shared" si="3057"/>
        <v>44022.000131607056</v>
      </c>
      <c r="AX269" s="14"/>
      <c r="AY269" s="25">
        <f t="shared" si="3058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59"/>
        <v>0</v>
      </c>
      <c r="BG269" s="32">
        <v>148.60000038146973</v>
      </c>
      <c r="BH269" s="32">
        <f t="shared" si="3060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61"/>
        <v>0</v>
      </c>
      <c r="BR269" s="95">
        <f t="shared" si="3062"/>
        <v>127.60000038146973</v>
      </c>
      <c r="BS269" s="133">
        <f t="shared" ref="BS269:BW271" si="3096">BR269-BL269</f>
        <v>127.60000038146973</v>
      </c>
      <c r="BT269" s="133">
        <f t="shared" si="3096"/>
        <v>127.60000038146973</v>
      </c>
      <c r="BU269" s="133">
        <f t="shared" si="3096"/>
        <v>127.60000038146973</v>
      </c>
      <c r="BV269" s="133">
        <f t="shared" si="3096"/>
        <v>127.60000038146973</v>
      </c>
      <c r="BW269" s="133">
        <f t="shared" si="3096"/>
        <v>127.60000038146973</v>
      </c>
      <c r="BX269" s="133">
        <f t="shared" si="3063"/>
        <v>127.60000038146973</v>
      </c>
      <c r="BY269" s="133">
        <f t="shared" si="3063"/>
        <v>127.60000038146973</v>
      </c>
      <c r="BZ269" s="133">
        <f t="shared" si="3063"/>
        <v>127.60000038146973</v>
      </c>
      <c r="CA269" s="133">
        <f t="shared" si="3063"/>
        <v>127.60000038146973</v>
      </c>
      <c r="CB269" s="133">
        <f t="shared" si="3063"/>
        <v>127.60000038146973</v>
      </c>
      <c r="CC269" s="133">
        <f t="shared" si="3063"/>
        <v>127.60000038146973</v>
      </c>
      <c r="CD269" s="133">
        <f t="shared" si="3063"/>
        <v>127.60000038146973</v>
      </c>
      <c r="CE269" s="133">
        <f t="shared" si="3063"/>
        <v>127.60000038146973</v>
      </c>
      <c r="CF269" s="133">
        <f t="shared" si="3063"/>
        <v>127.60000038146973</v>
      </c>
      <c r="CG269" s="133">
        <f t="shared" si="3063"/>
        <v>127.60000038146973</v>
      </c>
      <c r="CH269" s="133">
        <f t="shared" si="3063"/>
        <v>127.60000038146973</v>
      </c>
      <c r="CI269" s="133">
        <f t="shared" si="3063"/>
        <v>127.60000038146973</v>
      </c>
      <c r="CJ269" s="133">
        <f t="shared" si="3063"/>
        <v>127.60000038146973</v>
      </c>
      <c r="CK269" s="133">
        <f t="shared" si="3063"/>
        <v>127.60000038146973</v>
      </c>
      <c r="CL269" s="133">
        <f t="shared" si="3063"/>
        <v>127.60000038146973</v>
      </c>
      <c r="CM269" s="133">
        <f t="shared" si="3063"/>
        <v>127.60000038146973</v>
      </c>
      <c r="CN269" s="133">
        <f t="shared" si="3063"/>
        <v>127.60000038146973</v>
      </c>
      <c r="CO269" s="133">
        <f t="shared" si="3063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64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65"/>
        <v>0</v>
      </c>
      <c r="DB269" s="4">
        <f t="shared" si="3066"/>
        <v>0</v>
      </c>
      <c r="DC269" s="4">
        <f t="shared" si="3067"/>
        <v>0</v>
      </c>
      <c r="DD269" s="136">
        <f t="shared" si="3068"/>
        <v>0</v>
      </c>
      <c r="DE269" s="31">
        <v>0</v>
      </c>
      <c r="DF269" s="31">
        <v>30</v>
      </c>
      <c r="DG269" s="31">
        <v>100</v>
      </c>
      <c r="DH269" s="48">
        <f t="shared" si="3069"/>
        <v>1.5</v>
      </c>
      <c r="DI269" s="62">
        <v>150</v>
      </c>
      <c r="DJ269" s="62">
        <v>51750</v>
      </c>
      <c r="DK269" s="48">
        <f t="shared" si="3070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71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72"/>
        <v>1.5</v>
      </c>
      <c r="DV269" s="62">
        <v>0</v>
      </c>
      <c r="DW269" s="62">
        <v>0</v>
      </c>
      <c r="DX269" s="62">
        <f t="shared" si="3073"/>
        <v>0</v>
      </c>
      <c r="DY269" s="62">
        <f t="shared" si="3074"/>
        <v>0</v>
      </c>
      <c r="DZ269" s="48">
        <f t="shared" si="3075"/>
        <v>0</v>
      </c>
      <c r="EA269" s="62">
        <f t="shared" si="3076"/>
        <v>0</v>
      </c>
      <c r="EB269" s="62">
        <f t="shared" si="3077"/>
        <v>0</v>
      </c>
      <c r="EC269" s="48">
        <f t="shared" si="3078"/>
        <v>0</v>
      </c>
      <c r="ED269" s="62">
        <f t="shared" si="3079"/>
        <v>0</v>
      </c>
      <c r="EE269" s="62">
        <f t="shared" si="3080"/>
        <v>0</v>
      </c>
      <c r="EF269" s="48">
        <f t="shared" si="3081"/>
        <v>0</v>
      </c>
      <c r="EG269" s="62">
        <f t="shared" si="3082"/>
        <v>0</v>
      </c>
      <c r="EH269" s="62">
        <f t="shared" si="3083"/>
        <v>0</v>
      </c>
      <c r="EI269" s="48">
        <f t="shared" si="3084"/>
        <v>0</v>
      </c>
      <c r="EJ269" s="62">
        <f t="shared" si="3085"/>
        <v>0</v>
      </c>
      <c r="EK269" s="62">
        <f t="shared" si="3086"/>
        <v>0</v>
      </c>
      <c r="EL269" s="48">
        <f t="shared" si="3087"/>
        <v>0</v>
      </c>
      <c r="EM269" s="62">
        <f t="shared" si="3088"/>
        <v>0</v>
      </c>
      <c r="EN269" s="62">
        <f t="shared" si="3089"/>
        <v>0</v>
      </c>
      <c r="EO269" s="48">
        <f t="shared" si="3090"/>
        <v>0</v>
      </c>
      <c r="EP269" s="62">
        <f t="shared" si="3040"/>
        <v>0</v>
      </c>
      <c r="EQ269" s="62">
        <f t="shared" si="3040"/>
        <v>0</v>
      </c>
      <c r="ER269" s="62">
        <f t="shared" si="3040"/>
        <v>0</v>
      </c>
      <c r="ES269" s="62">
        <f t="shared" si="3040"/>
        <v>0</v>
      </c>
      <c r="ET269" s="62">
        <f t="shared" si="3040"/>
        <v>0</v>
      </c>
      <c r="EU269" s="62">
        <f t="shared" si="3040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91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 t="shared" si="3026"/>
        <v>1</v>
      </c>
      <c r="FS269" s="103" t="b">
        <f t="shared" si="3027"/>
        <v>1</v>
      </c>
      <c r="FT269" s="103" t="b">
        <f t="shared" si="3028"/>
        <v>0</v>
      </c>
      <c r="FU269" s="103" t="b">
        <f t="shared" si="3029"/>
        <v>0</v>
      </c>
      <c r="FV269" s="103" t="b">
        <f t="shared" si="3030"/>
        <v>1</v>
      </c>
      <c r="FW269" s="104" t="b">
        <f t="shared" si="3036"/>
        <v>0</v>
      </c>
      <c r="FX269" s="120" t="b">
        <f t="shared" si="3092"/>
        <v>1</v>
      </c>
      <c r="FY269" s="104" t="s">
        <v>368</v>
      </c>
      <c r="FZ269" s="104" t="b">
        <f t="shared" si="3093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94"/>
        <v>1</v>
      </c>
      <c r="GI269" s="8" t="b">
        <f t="shared" si="3095"/>
        <v>0</v>
      </c>
      <c r="GJ269" s="31" t="s">
        <v>203</v>
      </c>
    </row>
    <row r="270" spans="1:192" hidden="1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41"/>
        <v>нет минмакс</v>
      </c>
      <c r="Q270" s="95">
        <v>29193</v>
      </c>
      <c r="R270" s="95">
        <f t="shared" si="3042"/>
        <v>39994.410000000003</v>
      </c>
      <c r="S270" s="114">
        <v>42537</v>
      </c>
      <c r="T270" s="114">
        <v>58275.69</v>
      </c>
      <c r="U270" s="131">
        <f t="shared" si="3043"/>
        <v>2</v>
      </c>
      <c r="V270" s="115">
        <f t="shared" si="3044"/>
        <v>79862</v>
      </c>
      <c r="W270" s="115">
        <f t="shared" si="3045"/>
        <v>109410.94</v>
      </c>
      <c r="X270" s="115">
        <f t="shared" si="3046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47"/>
        <v>0</v>
      </c>
      <c r="AF270" s="95">
        <f t="shared" si="3048"/>
        <v>0</v>
      </c>
      <c r="AG270" s="114">
        <v>0</v>
      </c>
      <c r="AH270" s="95">
        <f t="shared" si="3049"/>
        <v>79862</v>
      </c>
      <c r="AI270" s="114">
        <f t="shared" si="3050"/>
        <v>109410.94</v>
      </c>
      <c r="AJ270" s="114">
        <f t="shared" si="3051"/>
        <v>79218</v>
      </c>
      <c r="AK270" s="114">
        <f t="shared" si="3035"/>
        <v>284900</v>
      </c>
      <c r="AL270" s="114">
        <f t="shared" si="3052"/>
        <v>520224</v>
      </c>
      <c r="AM270" s="114">
        <f t="shared" si="3053"/>
        <v>1087054</v>
      </c>
      <c r="AN270" s="133">
        <f t="shared" si="3054"/>
        <v>7.043495539320034</v>
      </c>
      <c r="AO270" s="133" t="str">
        <f t="shared" si="3055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56"/>
        <v>0-01</v>
      </c>
      <c r="AW270" s="126">
        <f t="shared" si="3057"/>
        <v>0</v>
      </c>
      <c r="AX270" s="138"/>
      <c r="AY270" s="115">
        <f t="shared" si="3058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59"/>
        <v>0</v>
      </c>
      <c r="BG270" s="32">
        <v>0</v>
      </c>
      <c r="BH270" s="32">
        <f t="shared" si="3060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61"/>
        <v>181175.66666666666</v>
      </c>
      <c r="BR270" s="95">
        <f t="shared" si="3062"/>
        <v>-46030</v>
      </c>
      <c r="BS270" s="133">
        <f t="shared" si="3096"/>
        <v>-225092</v>
      </c>
      <c r="BT270" s="133">
        <f t="shared" si="3096"/>
        <v>-412909</v>
      </c>
      <c r="BU270" s="133">
        <f t="shared" si="3096"/>
        <v>-605055</v>
      </c>
      <c r="BV270" s="133">
        <f t="shared" si="3096"/>
        <v>-812005</v>
      </c>
      <c r="BW270" s="133">
        <f t="shared" si="3096"/>
        <v>-1007192</v>
      </c>
      <c r="BX270" s="133">
        <f t="shared" si="3063"/>
        <v>-1188367.6666666667</v>
      </c>
      <c r="BY270" s="133">
        <f t="shared" si="3063"/>
        <v>-1369543.3333333335</v>
      </c>
      <c r="BZ270" s="133">
        <f t="shared" si="3063"/>
        <v>-1550719.0000000002</v>
      </c>
      <c r="CA270" s="133">
        <f t="shared" si="3063"/>
        <v>-1731894.666666667</v>
      </c>
      <c r="CB270" s="133">
        <f t="shared" si="3063"/>
        <v>-1913070.3333333337</v>
      </c>
      <c r="CC270" s="133">
        <f t="shared" si="3063"/>
        <v>-2094246.0000000005</v>
      </c>
      <c r="CD270" s="133">
        <f t="shared" si="3063"/>
        <v>-2275421.666666667</v>
      </c>
      <c r="CE270" s="133">
        <f t="shared" si="3063"/>
        <v>-2456597.3333333335</v>
      </c>
      <c r="CF270" s="133">
        <f t="shared" si="3063"/>
        <v>-2637773</v>
      </c>
      <c r="CG270" s="133">
        <f t="shared" si="3063"/>
        <v>-2818948.6666666665</v>
      </c>
      <c r="CH270" s="133">
        <f t="shared" si="3063"/>
        <v>-3000124.333333333</v>
      </c>
      <c r="CI270" s="133">
        <f t="shared" si="3063"/>
        <v>-3181299.9999999995</v>
      </c>
      <c r="CJ270" s="133">
        <f t="shared" si="3063"/>
        <v>-3362475.666666666</v>
      </c>
      <c r="CK270" s="133">
        <f t="shared" si="3063"/>
        <v>-3543651.3333333326</v>
      </c>
      <c r="CL270" s="133">
        <f t="shared" si="3063"/>
        <v>-3724826.9999999991</v>
      </c>
      <c r="CM270" s="133">
        <f t="shared" si="3063"/>
        <v>-3906002.6666666656</v>
      </c>
      <c r="CN270" s="133">
        <f t="shared" si="3063"/>
        <v>-4087178.3333333321</v>
      </c>
      <c r="CO270" s="133">
        <f t="shared" si="3063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64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65"/>
        <v>0</v>
      </c>
      <c r="DB270" s="4">
        <f t="shared" si="3066"/>
        <v>0</v>
      </c>
      <c r="DC270" s="4">
        <f t="shared" si="3067"/>
        <v>0</v>
      </c>
      <c r="DD270" s="136">
        <f t="shared" si="3068"/>
        <v>0</v>
      </c>
      <c r="DE270" s="31">
        <v>0</v>
      </c>
      <c r="DG270" s="31">
        <v>0</v>
      </c>
      <c r="DH270" s="48">
        <f t="shared" si="3069"/>
        <v>0</v>
      </c>
      <c r="DI270" s="62">
        <v>44250.902999999998</v>
      </c>
      <c r="DJ270" s="62">
        <v>52090.956999999995</v>
      </c>
      <c r="DK270" s="48">
        <f t="shared" si="3070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71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72"/>
        <v>2</v>
      </c>
      <c r="DV270" s="62">
        <v>79337</v>
      </c>
      <c r="DW270" s="62">
        <v>95083.364073625373</v>
      </c>
      <c r="DX270" s="62">
        <f t="shared" si="3073"/>
        <v>0</v>
      </c>
      <c r="DY270" s="62">
        <f t="shared" si="3074"/>
        <v>0</v>
      </c>
      <c r="DZ270" s="48">
        <f t="shared" si="3075"/>
        <v>0</v>
      </c>
      <c r="EA270" s="62">
        <f t="shared" si="3076"/>
        <v>0</v>
      </c>
      <c r="EB270" s="62">
        <f t="shared" si="3077"/>
        <v>0</v>
      </c>
      <c r="EC270" s="48">
        <f t="shared" si="3078"/>
        <v>0</v>
      </c>
      <c r="ED270" s="62">
        <f t="shared" si="3079"/>
        <v>0</v>
      </c>
      <c r="EE270" s="62">
        <f t="shared" si="3080"/>
        <v>0</v>
      </c>
      <c r="EF270" s="48">
        <f t="shared" si="3081"/>
        <v>0</v>
      </c>
      <c r="EG270" s="62">
        <f t="shared" si="3082"/>
        <v>0</v>
      </c>
      <c r="EH270" s="62">
        <f t="shared" si="3083"/>
        <v>0</v>
      </c>
      <c r="EI270" s="48">
        <f t="shared" si="3084"/>
        <v>0</v>
      </c>
      <c r="EJ270" s="62">
        <f t="shared" si="3085"/>
        <v>0</v>
      </c>
      <c r="EK270" s="62">
        <f t="shared" si="3086"/>
        <v>0</v>
      </c>
      <c r="EL270" s="48">
        <f t="shared" si="3087"/>
        <v>0</v>
      </c>
      <c r="EM270" s="62">
        <f t="shared" si="3088"/>
        <v>0</v>
      </c>
      <c r="EN270" s="62">
        <f t="shared" si="3089"/>
        <v>0</v>
      </c>
      <c r="EO270" s="48">
        <f t="shared" si="3090"/>
        <v>0</v>
      </c>
      <c r="EP270" s="62">
        <f t="shared" si="3040"/>
        <v>172472.04</v>
      </c>
      <c r="EQ270" s="62">
        <f t="shared" si="3040"/>
        <v>245314.94000000003</v>
      </c>
      <c r="ER270" s="62">
        <f t="shared" si="3040"/>
        <v>257309.29</v>
      </c>
      <c r="ES270" s="62">
        <f t="shared" si="3040"/>
        <v>263240.02</v>
      </c>
      <c r="ET270" s="62">
        <f t="shared" si="3040"/>
        <v>283521.5</v>
      </c>
      <c r="EU270" s="62">
        <f t="shared" si="3040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91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 t="shared" si="3026"/>
        <v>1</v>
      </c>
      <c r="FS270" s="120" t="b">
        <f t="shared" si="3027"/>
        <v>1</v>
      </c>
      <c r="FT270" s="120" t="b">
        <f t="shared" si="3028"/>
        <v>1</v>
      </c>
      <c r="FU270" s="120" t="b">
        <f t="shared" si="3029"/>
        <v>1</v>
      </c>
      <c r="FV270" s="120" t="b">
        <f t="shared" si="3030"/>
        <v>1</v>
      </c>
      <c r="FW270" s="104" t="b">
        <f t="shared" si="3036"/>
        <v>0</v>
      </c>
      <c r="FX270" s="120" t="b">
        <f t="shared" si="3092"/>
        <v>1</v>
      </c>
      <c r="FY270" s="104" t="s">
        <v>368</v>
      </c>
      <c r="FZ270" s="104" t="b">
        <f t="shared" si="3093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94"/>
        <v>1</v>
      </c>
      <c r="GI270" s="8" t="b">
        <f t="shared" si="3095"/>
        <v>0</v>
      </c>
      <c r="GJ270" s="31" t="s">
        <v>203</v>
      </c>
    </row>
    <row r="271" spans="1:192" hidden="1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41"/>
        <v>нет минмакс</v>
      </c>
      <c r="Q271" s="95">
        <v>9048</v>
      </c>
      <c r="R271" s="95">
        <f t="shared" si="3042"/>
        <v>42616.08</v>
      </c>
      <c r="S271" s="114">
        <v>9601</v>
      </c>
      <c r="T271" s="114">
        <v>46276.82</v>
      </c>
      <c r="U271" s="131">
        <f t="shared" si="3043"/>
        <v>1</v>
      </c>
      <c r="V271" s="115">
        <f t="shared" si="3044"/>
        <v>45798</v>
      </c>
      <c r="W271" s="115">
        <f t="shared" si="3045"/>
        <v>215708.58</v>
      </c>
      <c r="X271" s="115">
        <f t="shared" si="3046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47"/>
        <v>0</v>
      </c>
      <c r="AF271" s="95">
        <f t="shared" si="3048"/>
        <v>0</v>
      </c>
      <c r="AG271" s="114">
        <v>0</v>
      </c>
      <c r="AH271" s="95">
        <f t="shared" si="3049"/>
        <v>45798</v>
      </c>
      <c r="AI271" s="114">
        <f t="shared" si="3050"/>
        <v>215708.58</v>
      </c>
      <c r="AJ271" s="114">
        <f t="shared" si="3051"/>
        <v>65667</v>
      </c>
      <c r="AK271" s="114">
        <f t="shared" ref="AK271:AK274" si="3097">SUM(CS271:CU271)</f>
        <v>225418</v>
      </c>
      <c r="AL271" s="114">
        <f t="shared" si="3052"/>
        <v>393213</v>
      </c>
      <c r="AM271" s="114">
        <f t="shared" si="3053"/>
        <v>460025</v>
      </c>
      <c r="AN271" s="133">
        <f t="shared" si="3054"/>
        <v>3.7567088745176895</v>
      </c>
      <c r="AO271" s="133" t="str">
        <f t="shared" si="3055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56"/>
        <v>0-01</v>
      </c>
      <c r="AW271" s="126">
        <f t="shared" si="3057"/>
        <v>0</v>
      </c>
      <c r="AX271" s="138"/>
      <c r="AY271" s="115">
        <f t="shared" si="3058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59"/>
        <v>0</v>
      </c>
      <c r="BG271" s="32">
        <v>0</v>
      </c>
      <c r="BH271" s="32">
        <f t="shared" si="3060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61"/>
        <v>76670.833333333328</v>
      </c>
      <c r="BR271" s="95">
        <f t="shared" si="3062"/>
        <v>-37535</v>
      </c>
      <c r="BS271" s="133">
        <f t="shared" si="3096"/>
        <v>-120586</v>
      </c>
      <c r="BT271" s="133">
        <f t="shared" si="3096"/>
        <v>-197462</v>
      </c>
      <c r="BU271" s="133">
        <f t="shared" si="3096"/>
        <v>-274128</v>
      </c>
      <c r="BV271" s="133">
        <f t="shared" si="3096"/>
        <v>-348957</v>
      </c>
      <c r="BW271" s="133">
        <f t="shared" si="3096"/>
        <v>-414227</v>
      </c>
      <c r="BX271" s="133">
        <f t="shared" ref="BX271:CO271" si="3098">BW271-$BQ271</f>
        <v>-490897.83333333331</v>
      </c>
      <c r="BY271" s="133">
        <f t="shared" si="3098"/>
        <v>-567568.66666666663</v>
      </c>
      <c r="BZ271" s="133">
        <f t="shared" si="3098"/>
        <v>-644239.5</v>
      </c>
      <c r="CA271" s="133">
        <f t="shared" si="3098"/>
        <v>-720910.33333333337</v>
      </c>
      <c r="CB271" s="133">
        <f t="shared" si="3098"/>
        <v>-797581.16666666674</v>
      </c>
      <c r="CC271" s="133">
        <f t="shared" si="3098"/>
        <v>-874252.00000000012</v>
      </c>
      <c r="CD271" s="133">
        <f t="shared" si="3098"/>
        <v>-950922.83333333349</v>
      </c>
      <c r="CE271" s="133">
        <f t="shared" si="3098"/>
        <v>-1027593.6666666669</v>
      </c>
      <c r="CF271" s="133">
        <f t="shared" si="3098"/>
        <v>-1104264.5000000002</v>
      </c>
      <c r="CG271" s="133">
        <f t="shared" si="3098"/>
        <v>-1180935.3333333335</v>
      </c>
      <c r="CH271" s="133">
        <f t="shared" si="3098"/>
        <v>-1257606.1666666667</v>
      </c>
      <c r="CI271" s="133">
        <f t="shared" si="3098"/>
        <v>-1334277</v>
      </c>
      <c r="CJ271" s="133">
        <f t="shared" si="3098"/>
        <v>-1410947.8333333333</v>
      </c>
      <c r="CK271" s="133">
        <f t="shared" si="3098"/>
        <v>-1487618.6666666665</v>
      </c>
      <c r="CL271" s="133">
        <f t="shared" si="3098"/>
        <v>-1564289.4999999998</v>
      </c>
      <c r="CM271" s="133">
        <f t="shared" si="3098"/>
        <v>-1640960.333333333</v>
      </c>
      <c r="CN271" s="133">
        <f t="shared" si="3098"/>
        <v>-1717631.1666666663</v>
      </c>
      <c r="CO271" s="133">
        <f t="shared" si="3098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64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65"/>
        <v>0</v>
      </c>
      <c r="DB271" s="4">
        <f t="shared" si="3066"/>
        <v>0</v>
      </c>
      <c r="DC271" s="4">
        <f t="shared" si="3067"/>
        <v>0</v>
      </c>
      <c r="DD271" s="136">
        <f t="shared" si="3068"/>
        <v>0</v>
      </c>
      <c r="DE271" s="31">
        <v>0</v>
      </c>
      <c r="DG271" s="31">
        <v>0</v>
      </c>
      <c r="DH271" s="48">
        <f t="shared" si="3069"/>
        <v>0</v>
      </c>
      <c r="DI271" s="62">
        <v>33346.063999999998</v>
      </c>
      <c r="DJ271" s="62">
        <v>155485.40299999999</v>
      </c>
      <c r="DK271" s="48">
        <f t="shared" si="3070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71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72"/>
        <v>2</v>
      </c>
      <c r="DV271" s="62">
        <v>55973</v>
      </c>
      <c r="DW271" s="62">
        <v>266841.20868272748</v>
      </c>
      <c r="DX271" s="62">
        <f t="shared" si="3073"/>
        <v>0</v>
      </c>
      <c r="DY271" s="62">
        <f t="shared" si="3074"/>
        <v>0</v>
      </c>
      <c r="DZ271" s="48">
        <f t="shared" si="3075"/>
        <v>0</v>
      </c>
      <c r="EA271" s="62">
        <f t="shared" si="3076"/>
        <v>0</v>
      </c>
      <c r="EB271" s="62">
        <f t="shared" si="3077"/>
        <v>0</v>
      </c>
      <c r="EC271" s="48">
        <f t="shared" si="3078"/>
        <v>0</v>
      </c>
      <c r="ED271" s="62">
        <f t="shared" si="3079"/>
        <v>0</v>
      </c>
      <c r="EE271" s="62">
        <f t="shared" si="3080"/>
        <v>0</v>
      </c>
      <c r="EF271" s="48">
        <f t="shared" si="3081"/>
        <v>0</v>
      </c>
      <c r="EG271" s="62">
        <f t="shared" si="3082"/>
        <v>0</v>
      </c>
      <c r="EH271" s="62">
        <f t="shared" si="3083"/>
        <v>0</v>
      </c>
      <c r="EI271" s="48">
        <f t="shared" si="3084"/>
        <v>0</v>
      </c>
      <c r="EJ271" s="62">
        <f t="shared" si="3085"/>
        <v>0</v>
      </c>
      <c r="EK271" s="62">
        <f t="shared" si="3086"/>
        <v>0</v>
      </c>
      <c r="EL271" s="48">
        <f t="shared" si="3087"/>
        <v>0</v>
      </c>
      <c r="EM271" s="62">
        <f t="shared" si="3088"/>
        <v>0</v>
      </c>
      <c r="EN271" s="62">
        <f t="shared" si="3089"/>
        <v>0</v>
      </c>
      <c r="EO271" s="48">
        <f t="shared" si="3090"/>
        <v>0</v>
      </c>
      <c r="EP271" s="62">
        <f t="shared" ref="EP271:ER275" si="3099">BK271*$FH271</f>
        <v>392498.43</v>
      </c>
      <c r="EQ271" s="62">
        <f t="shared" si="3099"/>
        <v>391170.21</v>
      </c>
      <c r="ER271" s="62">
        <f t="shared" si="3099"/>
        <v>362085.96</v>
      </c>
      <c r="ES271" s="62">
        <f t="shared" ref="ES271:EU275" si="3100">BN271*$FH271</f>
        <v>361096.86</v>
      </c>
      <c r="ET271" s="62">
        <f t="shared" si="3100"/>
        <v>352444.59</v>
      </c>
      <c r="EU271" s="62">
        <f t="shared" si="3100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91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 t="shared" si="3026"/>
        <v>1</v>
      </c>
      <c r="FS271" s="120" t="b">
        <f t="shared" si="3027"/>
        <v>1</v>
      </c>
      <c r="FT271" s="120" t="b">
        <f t="shared" si="3028"/>
        <v>1</v>
      </c>
      <c r="FU271" s="120" t="b">
        <f t="shared" si="3029"/>
        <v>1</v>
      </c>
      <c r="FV271" s="120" t="b">
        <f t="shared" si="3030"/>
        <v>1</v>
      </c>
      <c r="FW271" s="104" t="b">
        <f t="shared" si="3036"/>
        <v>0</v>
      </c>
      <c r="FX271" s="120" t="b">
        <f t="shared" si="3092"/>
        <v>1</v>
      </c>
      <c r="FY271" s="104" t="s">
        <v>368</v>
      </c>
      <c r="FZ271" s="104" t="b">
        <f t="shared" si="3093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94"/>
        <v>1</v>
      </c>
      <c r="GI271" s="8" t="b">
        <f t="shared" si="3095"/>
        <v>0</v>
      </c>
      <c r="GJ271" s="31" t="s">
        <v>203</v>
      </c>
    </row>
    <row r="272" spans="1:192" hidden="1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41"/>
        <v>нет минмакс</v>
      </c>
      <c r="Q272" s="95">
        <v>64000</v>
      </c>
      <c r="R272" s="95">
        <f t="shared" si="3042"/>
        <v>75520</v>
      </c>
      <c r="S272" s="114">
        <v>33540</v>
      </c>
      <c r="T272" s="114">
        <v>44608.200000000004</v>
      </c>
      <c r="U272" s="131">
        <f t="shared" si="3043"/>
        <v>2</v>
      </c>
      <c r="V272" s="115">
        <f t="shared" si="3044"/>
        <v>29000</v>
      </c>
      <c r="W272" s="115">
        <f t="shared" si="3045"/>
        <v>34220</v>
      </c>
      <c r="X272" s="115">
        <f t="shared" si="3046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47"/>
        <v>0</v>
      </c>
      <c r="AF272" s="95">
        <f t="shared" si="3048"/>
        <v>0</v>
      </c>
      <c r="AG272" s="114">
        <v>0</v>
      </c>
      <c r="AH272" s="95">
        <f t="shared" si="3049"/>
        <v>29000</v>
      </c>
      <c r="AI272" s="114">
        <f t="shared" si="3050"/>
        <v>34220</v>
      </c>
      <c r="AJ272" s="114">
        <f t="shared" si="3051"/>
        <v>30011</v>
      </c>
      <c r="AK272" s="114">
        <f t="shared" si="3097"/>
        <v>99288</v>
      </c>
      <c r="AL272" s="114">
        <f t="shared" si="3052"/>
        <v>175049</v>
      </c>
      <c r="AM272" s="114">
        <f t="shared" si="3053"/>
        <v>233811</v>
      </c>
      <c r="AN272" s="133">
        <f t="shared" si="3054"/>
        <v>25.820855306208863</v>
      </c>
      <c r="AO272" s="133" t="str">
        <f t="shared" si="3055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56"/>
        <v>0-03</v>
      </c>
      <c r="AW272" s="126">
        <f t="shared" si="3057"/>
        <v>0</v>
      </c>
      <c r="AX272" s="138"/>
      <c r="AY272" s="115">
        <f t="shared" si="3058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59"/>
        <v>0</v>
      </c>
      <c r="BG272" s="32">
        <v>0</v>
      </c>
      <c r="BH272" s="32">
        <f t="shared" si="3060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61"/>
        <v>38968.5</v>
      </c>
      <c r="BR272" s="95">
        <f t="shared" si="3062"/>
        <v>55546</v>
      </c>
      <c r="BS272" s="133">
        <f t="shared" ref="BS272:BW277" si="3101">BR272-BL272</f>
        <v>16056</v>
      </c>
      <c r="BT272" s="133">
        <f t="shared" si="3101"/>
        <v>-25135</v>
      </c>
      <c r="BU272" s="133">
        <f t="shared" si="3101"/>
        <v>-72482</v>
      </c>
      <c r="BV272" s="133">
        <f t="shared" si="3101"/>
        <v>-125623</v>
      </c>
      <c r="BW272" s="133">
        <f t="shared" si="3101"/>
        <v>-169811</v>
      </c>
      <c r="BX272" s="133">
        <f t="shared" ref="BX272:CO274" si="3102">BW272-$BQ272</f>
        <v>-208779.5</v>
      </c>
      <c r="BY272" s="133">
        <f t="shared" si="3102"/>
        <v>-247748</v>
      </c>
      <c r="BZ272" s="133">
        <f t="shared" si="3102"/>
        <v>-286716.5</v>
      </c>
      <c r="CA272" s="133">
        <f t="shared" si="3102"/>
        <v>-325685</v>
      </c>
      <c r="CB272" s="133">
        <f t="shared" si="3102"/>
        <v>-364653.5</v>
      </c>
      <c r="CC272" s="133">
        <f t="shared" si="3102"/>
        <v>-403622</v>
      </c>
      <c r="CD272" s="133">
        <f t="shared" si="3102"/>
        <v>-442590.5</v>
      </c>
      <c r="CE272" s="133">
        <f t="shared" si="3102"/>
        <v>-481559</v>
      </c>
      <c r="CF272" s="133">
        <f t="shared" si="3102"/>
        <v>-520527.5</v>
      </c>
      <c r="CG272" s="133">
        <f t="shared" si="3102"/>
        <v>-559496</v>
      </c>
      <c r="CH272" s="133">
        <f t="shared" si="3102"/>
        <v>-598464.5</v>
      </c>
      <c r="CI272" s="133">
        <f t="shared" si="3102"/>
        <v>-637433</v>
      </c>
      <c r="CJ272" s="133">
        <f t="shared" si="3102"/>
        <v>-676401.5</v>
      </c>
      <c r="CK272" s="133">
        <f t="shared" si="3102"/>
        <v>-715370</v>
      </c>
      <c r="CL272" s="133">
        <f t="shared" si="3102"/>
        <v>-754338.5</v>
      </c>
      <c r="CM272" s="133">
        <f t="shared" si="3102"/>
        <v>-793307</v>
      </c>
      <c r="CN272" s="133">
        <f t="shared" si="3102"/>
        <v>-832275.5</v>
      </c>
      <c r="CO272" s="133">
        <f t="shared" si="3102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64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103">IFERROR(CZ272/CY272,0)</f>
        <v>0</v>
      </c>
      <c r="DB272" s="4">
        <f t="shared" ref="DB272:DB279" si="3104">CY272*FH272</f>
        <v>0</v>
      </c>
      <c r="DC272" s="4">
        <f t="shared" ref="DC272:DC279" si="3105">CZ272*FH272</f>
        <v>0</v>
      </c>
      <c r="DD272" s="136">
        <f t="shared" ref="DD272:DD279" si="3106">IFERROR(DC272/DB272,0)</f>
        <v>0</v>
      </c>
      <c r="DE272" s="31">
        <v>0</v>
      </c>
      <c r="DG272" s="31">
        <v>0</v>
      </c>
      <c r="DH272" s="48">
        <f t="shared" si="3069"/>
        <v>0</v>
      </c>
      <c r="DI272" s="62">
        <v>25491.773999999998</v>
      </c>
      <c r="DJ272" s="62">
        <v>32367.273000000001</v>
      </c>
      <c r="DK272" s="48">
        <f t="shared" si="3070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71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72"/>
        <v>2</v>
      </c>
      <c r="DV272" s="62">
        <v>35000</v>
      </c>
      <c r="DW272" s="62">
        <v>46687.916506471869</v>
      </c>
      <c r="DX272" s="62">
        <f t="shared" si="3073"/>
        <v>0</v>
      </c>
      <c r="DY272" s="62">
        <f t="shared" si="3074"/>
        <v>0</v>
      </c>
      <c r="DZ272" s="48">
        <f t="shared" si="3075"/>
        <v>0</v>
      </c>
      <c r="EA272" s="62">
        <f t="shared" si="3076"/>
        <v>0</v>
      </c>
      <c r="EB272" s="62">
        <f t="shared" si="3077"/>
        <v>0</v>
      </c>
      <c r="EC272" s="48">
        <f t="shared" si="3078"/>
        <v>0</v>
      </c>
      <c r="ED272" s="62">
        <f t="shared" si="3079"/>
        <v>0</v>
      </c>
      <c r="EE272" s="62">
        <f t="shared" si="3080"/>
        <v>0</v>
      </c>
      <c r="EF272" s="48">
        <f t="shared" si="3081"/>
        <v>0</v>
      </c>
      <c r="EG272" s="62">
        <f t="shared" si="3082"/>
        <v>0</v>
      </c>
      <c r="EH272" s="62">
        <f t="shared" si="3083"/>
        <v>0</v>
      </c>
      <c r="EI272" s="48">
        <f t="shared" si="3084"/>
        <v>0</v>
      </c>
      <c r="EJ272" s="62">
        <f t="shared" si="3085"/>
        <v>0</v>
      </c>
      <c r="EK272" s="62">
        <f t="shared" si="3086"/>
        <v>0</v>
      </c>
      <c r="EL272" s="48">
        <f t="shared" si="3087"/>
        <v>0</v>
      </c>
      <c r="EM272" s="62">
        <f t="shared" si="3088"/>
        <v>0</v>
      </c>
      <c r="EN272" s="62">
        <f t="shared" si="3089"/>
        <v>0</v>
      </c>
      <c r="EO272" s="48">
        <f t="shared" si="3090"/>
        <v>0</v>
      </c>
      <c r="EP272" s="62">
        <f t="shared" si="3099"/>
        <v>9975.7199999999993</v>
      </c>
      <c r="EQ272" s="62">
        <f t="shared" si="3099"/>
        <v>46598.2</v>
      </c>
      <c r="ER272" s="62">
        <f t="shared" si="3099"/>
        <v>48605.38</v>
      </c>
      <c r="ES272" s="62">
        <f t="shared" si="3100"/>
        <v>55869.46</v>
      </c>
      <c r="ET272" s="62">
        <f t="shared" si="3100"/>
        <v>62706.38</v>
      </c>
      <c r="EU272" s="62">
        <f t="shared" si="3100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91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 t="shared" si="3026"/>
        <v>1</v>
      </c>
      <c r="FS272" s="120" t="b">
        <f t="shared" si="3027"/>
        <v>1</v>
      </c>
      <c r="FT272" s="120" t="b">
        <f t="shared" si="3028"/>
        <v>1</v>
      </c>
      <c r="FU272" s="120" t="b">
        <f t="shared" si="3029"/>
        <v>1</v>
      </c>
      <c r="FV272" s="120" t="b">
        <f t="shared" si="3030"/>
        <v>1</v>
      </c>
      <c r="FW272" s="104" t="b">
        <f t="shared" si="3036"/>
        <v>0</v>
      </c>
      <c r="FX272" s="120" t="b">
        <f t="shared" si="3092"/>
        <v>1</v>
      </c>
      <c r="FY272" s="104" t="s">
        <v>368</v>
      </c>
      <c r="FZ272" s="104" t="b">
        <f t="shared" si="3093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94"/>
        <v>1</v>
      </c>
      <c r="GI272" s="8" t="b">
        <f t="shared" si="3095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107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108">Q273*FH273</f>
        <v>43329.200000000004</v>
      </c>
      <c r="S273" s="131">
        <v>298</v>
      </c>
      <c r="T273" s="131">
        <v>43329.200000000004</v>
      </c>
      <c r="U273" s="131">
        <f t="shared" ref="U273:U279" si="3109">IFERROR(ROUNDUP(S273/$EX273,0)*$EY273,0)</f>
        <v>1.5</v>
      </c>
      <c r="V273" s="113">
        <f t="shared" ref="V273:V280" si="3110">SUM(Z273:AD273)</f>
        <v>298</v>
      </c>
      <c r="W273" s="113">
        <f t="shared" ref="W273:W279" si="3111">V273*FH273</f>
        <v>43329.200000000004</v>
      </c>
      <c r="X273" s="113">
        <f t="shared" ref="X273:X279" si="3112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113">AA273*FH273</f>
        <v>0</v>
      </c>
      <c r="AF273" s="95">
        <f t="shared" ref="AF273:AF279" si="3114">AB273*FH273</f>
        <v>0</v>
      </c>
      <c r="AG273" s="114">
        <v>0</v>
      </c>
      <c r="AH273" s="95">
        <f t="shared" ref="AH273:AH280" si="3115">V273-AG273</f>
        <v>298</v>
      </c>
      <c r="AI273" s="114">
        <f t="shared" ref="AI273:AI279" si="3116">IF(AH273&gt;0,AH273*FH273,0)</f>
        <v>43329.200000000004</v>
      </c>
      <c r="AJ273" s="133">
        <f t="shared" ref="AJ273:AJ280" si="3117">CU273</f>
        <v>0</v>
      </c>
      <c r="AK273" s="133">
        <f t="shared" si="3097"/>
        <v>42</v>
      </c>
      <c r="AL273" s="133">
        <f t="shared" ref="AL273:AL280" si="3118">SUM(CP273:CU273)</f>
        <v>324</v>
      </c>
      <c r="AM273" s="133">
        <f t="shared" ref="AM273:AM280" si="3119">SUM(BK273:BP273)</f>
        <v>0</v>
      </c>
      <c r="AN273" s="133" t="str">
        <f t="shared" ref="AN273:AN279" si="3120">IFERROR(S273/BQ273*30,"нет оборота")</f>
        <v>нет оборота</v>
      </c>
      <c r="AO273" s="133" t="str">
        <f t="shared" ref="AO273:AO279" si="3121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122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123">IF(AT273="Да",W273,0)</f>
        <v>43329.200000000004</v>
      </c>
      <c r="AX273" s="14"/>
      <c r="AY273" s="25">
        <f t="shared" ref="AY273:AY279" si="3124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125">BE273*FH273</f>
        <v>0</v>
      </c>
      <c r="BG273" s="32">
        <v>0</v>
      </c>
      <c r="BH273" s="32">
        <f t="shared" ref="BH273:BH279" si="3126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127">IF(COUNTIF(BK273:BP273,"&gt;0")=0,0,SUM(BK273:BP273)/COUNTIF(BK273:BP273,"&gt;0"))</f>
        <v>0</v>
      </c>
      <c r="BR273" s="95">
        <f t="shared" ref="BR273:BR279" si="3128">IF(OR(Q273=0,SUM(BK273:BP273)=0,V273&gt;Q273),V273-BK273,Q273-BK273)</f>
        <v>298</v>
      </c>
      <c r="BS273" s="133">
        <f t="shared" si="3101"/>
        <v>298</v>
      </c>
      <c r="BT273" s="133">
        <f t="shared" si="3101"/>
        <v>298</v>
      </c>
      <c r="BU273" s="133">
        <f t="shared" si="3101"/>
        <v>298</v>
      </c>
      <c r="BV273" s="133">
        <f t="shared" si="3101"/>
        <v>298</v>
      </c>
      <c r="BW273" s="133">
        <f t="shared" si="3101"/>
        <v>298</v>
      </c>
      <c r="BX273" s="133">
        <f t="shared" si="3102"/>
        <v>298</v>
      </c>
      <c r="BY273" s="133">
        <f t="shared" si="3102"/>
        <v>298</v>
      </c>
      <c r="BZ273" s="133">
        <f t="shared" si="3102"/>
        <v>298</v>
      </c>
      <c r="CA273" s="133">
        <f t="shared" si="3102"/>
        <v>298</v>
      </c>
      <c r="CB273" s="133">
        <f t="shared" si="3102"/>
        <v>298</v>
      </c>
      <c r="CC273" s="133">
        <f t="shared" si="3102"/>
        <v>298</v>
      </c>
      <c r="CD273" s="133">
        <f t="shared" si="3102"/>
        <v>298</v>
      </c>
      <c r="CE273" s="133">
        <f t="shared" si="3102"/>
        <v>298</v>
      </c>
      <c r="CF273" s="133">
        <f t="shared" si="3102"/>
        <v>298</v>
      </c>
      <c r="CG273" s="133">
        <f t="shared" si="3102"/>
        <v>298</v>
      </c>
      <c r="CH273" s="133">
        <f t="shared" si="3102"/>
        <v>298</v>
      </c>
      <c r="CI273" s="133">
        <f t="shared" si="3102"/>
        <v>298</v>
      </c>
      <c r="CJ273" s="133">
        <f t="shared" si="3102"/>
        <v>298</v>
      </c>
      <c r="CK273" s="133">
        <f t="shared" si="3102"/>
        <v>298</v>
      </c>
      <c r="CL273" s="133">
        <f t="shared" si="3102"/>
        <v>298</v>
      </c>
      <c r="CM273" s="133">
        <f t="shared" si="3102"/>
        <v>298</v>
      </c>
      <c r="CN273" s="133">
        <f t="shared" si="3102"/>
        <v>298</v>
      </c>
      <c r="CO273" s="133">
        <f t="shared" si="3102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129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103"/>
        <v>0</v>
      </c>
      <c r="DB273" s="4">
        <f t="shared" si="3104"/>
        <v>0</v>
      </c>
      <c r="DC273" s="4">
        <f t="shared" si="3105"/>
        <v>0</v>
      </c>
      <c r="DD273" s="136">
        <f t="shared" si="3106"/>
        <v>0</v>
      </c>
      <c r="DE273" s="31">
        <v>0</v>
      </c>
      <c r="DF273" s="31">
        <v>45</v>
      </c>
      <c r="DG273" s="31">
        <v>0</v>
      </c>
      <c r="DH273" s="48">
        <f t="shared" ref="DH273:DH280" si="3130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31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32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33">IFERROR(ROUNDUP(DS273/$EX273,0)*$EY273,0)</f>
        <v>1.5</v>
      </c>
      <c r="DV273" s="62">
        <v>42</v>
      </c>
      <c r="DW273" s="62">
        <v>6106.8466666666673</v>
      </c>
      <c r="DX273" s="62">
        <f t="shared" ref="DX273:DX280" si="3134">$DF273*BK273/30</f>
        <v>0</v>
      </c>
      <c r="DY273" s="62">
        <f t="shared" ref="DY273:DY279" si="3135">DX273*$FH273</f>
        <v>0</v>
      </c>
      <c r="DZ273" s="48">
        <f t="shared" ref="DZ273:DZ280" si="3136">IFERROR(ROUNDUP(DX273/$EX273,0)*$EY273,0)</f>
        <v>0</v>
      </c>
      <c r="EA273" s="62">
        <f t="shared" ref="EA273:EA280" si="3137">$DF273*BL273/30</f>
        <v>0</v>
      </c>
      <c r="EB273" s="62">
        <f t="shared" ref="EB273:EB279" si="3138">EA273*$FH273</f>
        <v>0</v>
      </c>
      <c r="EC273" s="48">
        <f t="shared" ref="EC273:EC280" si="3139">IFERROR(ROUNDUP(EA273/$EX273,0)*$EY273,0)</f>
        <v>0</v>
      </c>
      <c r="ED273" s="62">
        <f t="shared" ref="ED273:ED280" si="3140">$DF273*BM273/30</f>
        <v>0</v>
      </c>
      <c r="EE273" s="62">
        <f t="shared" ref="EE273:EE279" si="3141">ED273*$FH273</f>
        <v>0</v>
      </c>
      <c r="EF273" s="48">
        <f t="shared" ref="EF273:EF280" si="3142">IFERROR(ROUNDUP(ED273/$EX273,0)*$EY273,0)</f>
        <v>0</v>
      </c>
      <c r="EG273" s="62">
        <f t="shared" ref="EG273:EG280" si="3143">$DF273*BN273/30</f>
        <v>0</v>
      </c>
      <c r="EH273" s="62">
        <f t="shared" ref="EH273:EH279" si="3144">EG273*$FH273</f>
        <v>0</v>
      </c>
      <c r="EI273" s="48">
        <f t="shared" ref="EI273:EI280" si="3145">IFERROR(ROUNDUP(EG273/$EX273,0)*$EY273,0)</f>
        <v>0</v>
      </c>
      <c r="EJ273" s="62">
        <f t="shared" ref="EJ273:EJ280" si="3146">$DF273*BO273/30</f>
        <v>0</v>
      </c>
      <c r="EK273" s="62">
        <f t="shared" ref="EK273:EK279" si="3147">EJ273*$FH273</f>
        <v>0</v>
      </c>
      <c r="EL273" s="48">
        <f t="shared" ref="EL273:EL280" si="3148">IFERROR(ROUNDUP(EJ273/$EX273,0)*$EY273,0)</f>
        <v>0</v>
      </c>
      <c r="EM273" s="62">
        <f t="shared" ref="EM273:EM280" si="3149">$DF273*BP273/30</f>
        <v>0</v>
      </c>
      <c r="EN273" s="62">
        <f t="shared" ref="EN273:EN279" si="3150">EM273*$FH273</f>
        <v>0</v>
      </c>
      <c r="EO273" s="48">
        <f t="shared" ref="EO273:EO280" si="3151">IFERROR(ROUNDUP(EM273/$EX273,0)*$EY273,0)</f>
        <v>0</v>
      </c>
      <c r="EP273" s="62">
        <f t="shared" si="3099"/>
        <v>0</v>
      </c>
      <c r="EQ273" s="62">
        <f t="shared" si="3099"/>
        <v>0</v>
      </c>
      <c r="ER273" s="62">
        <f t="shared" si="3099"/>
        <v>0</v>
      </c>
      <c r="ES273" s="62">
        <f t="shared" si="3100"/>
        <v>0</v>
      </c>
      <c r="ET273" s="62">
        <f t="shared" si="3100"/>
        <v>0</v>
      </c>
      <c r="EU273" s="62">
        <f t="shared" si="3100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52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 t="shared" si="3026"/>
        <v>1</v>
      </c>
      <c r="FS273" s="103" t="b">
        <f t="shared" si="3027"/>
        <v>1</v>
      </c>
      <c r="FT273" s="103" t="b">
        <f t="shared" si="3028"/>
        <v>0</v>
      </c>
      <c r="FU273" s="103" t="b">
        <f t="shared" si="3029"/>
        <v>0</v>
      </c>
      <c r="FV273" s="103" t="b">
        <f t="shared" si="3030"/>
        <v>1</v>
      </c>
      <c r="FW273" s="104" t="b">
        <f t="shared" si="3036"/>
        <v>0</v>
      </c>
      <c r="FX273" s="120" t="b">
        <f t="shared" ref="FX273:FX280" si="3153">EXACT(FQ273,BI273)</f>
        <v>1</v>
      </c>
      <c r="FY273" s="104" t="s">
        <v>491</v>
      </c>
      <c r="FZ273" s="104" t="b">
        <f t="shared" ref="FZ273:FZ280" si="3154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55">EXACT(GD273,C273)</f>
        <v>1</v>
      </c>
      <c r="GI273" s="8" t="b">
        <f t="shared" ref="GI273:GI280" si="3156">EXACT(GG273,G273)</f>
        <v>0</v>
      </c>
      <c r="GJ273" s="31" t="s">
        <v>203</v>
      </c>
    </row>
    <row r="274" spans="1:192" ht="30" hidden="1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107"/>
        <v>нет минмакс</v>
      </c>
      <c r="Q274" s="95">
        <v>469.72800064086914</v>
      </c>
      <c r="R274" s="95">
        <f t="shared" si="3108"/>
        <v>76950.84106498718</v>
      </c>
      <c r="S274" s="114">
        <v>272</v>
      </c>
      <c r="T274" s="114">
        <v>44295.199999999997</v>
      </c>
      <c r="U274" s="131">
        <f t="shared" si="3109"/>
        <v>0</v>
      </c>
      <c r="V274" s="115">
        <f t="shared" si="3110"/>
        <v>486</v>
      </c>
      <c r="W274" s="115">
        <f t="shared" si="3111"/>
        <v>79616.51999999999</v>
      </c>
      <c r="X274" s="115">
        <f t="shared" si="3112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113"/>
        <v>0</v>
      </c>
      <c r="AF274" s="95">
        <f t="shared" si="3114"/>
        <v>0</v>
      </c>
      <c r="AG274" s="114">
        <v>0</v>
      </c>
      <c r="AH274" s="95">
        <f t="shared" si="3115"/>
        <v>486</v>
      </c>
      <c r="AI274" s="114">
        <f t="shared" si="3116"/>
        <v>79616.51999999999</v>
      </c>
      <c r="AJ274" s="114">
        <f t="shared" si="3117"/>
        <v>0</v>
      </c>
      <c r="AK274" s="114">
        <f t="shared" si="3097"/>
        <v>468</v>
      </c>
      <c r="AL274" s="114">
        <f t="shared" si="3118"/>
        <v>1436</v>
      </c>
      <c r="AM274" s="114">
        <f t="shared" si="3119"/>
        <v>0</v>
      </c>
      <c r="AN274" s="133" t="str">
        <f t="shared" si="3120"/>
        <v>нет оборота</v>
      </c>
      <c r="AO274" s="133" t="str">
        <f t="shared" si="3121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122"/>
        <v>Нет планов</v>
      </c>
      <c r="AW274" s="126">
        <f t="shared" si="3123"/>
        <v>79616.51999999999</v>
      </c>
      <c r="AX274" s="138"/>
      <c r="AY274" s="115">
        <f t="shared" si="3124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125"/>
        <v>0</v>
      </c>
      <c r="BG274" s="32">
        <v>0</v>
      </c>
      <c r="BH274" s="32">
        <f t="shared" si="3126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127"/>
        <v>0</v>
      </c>
      <c r="BR274" s="95">
        <f t="shared" si="3128"/>
        <v>486</v>
      </c>
      <c r="BS274" s="133">
        <f t="shared" si="3101"/>
        <v>486</v>
      </c>
      <c r="BT274" s="133">
        <f t="shared" si="3101"/>
        <v>486</v>
      </c>
      <c r="BU274" s="133">
        <f t="shared" si="3101"/>
        <v>486</v>
      </c>
      <c r="BV274" s="133">
        <f t="shared" si="3101"/>
        <v>486</v>
      </c>
      <c r="BW274" s="133">
        <f t="shared" si="3101"/>
        <v>486</v>
      </c>
      <c r="BX274" s="133">
        <f t="shared" si="3102"/>
        <v>486</v>
      </c>
      <c r="BY274" s="133">
        <f t="shared" si="3102"/>
        <v>486</v>
      </c>
      <c r="BZ274" s="133">
        <f t="shared" si="3102"/>
        <v>486</v>
      </c>
      <c r="CA274" s="133">
        <f t="shared" si="3102"/>
        <v>486</v>
      </c>
      <c r="CB274" s="133">
        <f t="shared" si="3102"/>
        <v>486</v>
      </c>
      <c r="CC274" s="133">
        <f t="shared" si="3102"/>
        <v>486</v>
      </c>
      <c r="CD274" s="133">
        <f t="shared" si="3102"/>
        <v>486</v>
      </c>
      <c r="CE274" s="133">
        <f t="shared" si="3102"/>
        <v>486</v>
      </c>
      <c r="CF274" s="133">
        <f t="shared" si="3102"/>
        <v>486</v>
      </c>
      <c r="CG274" s="133">
        <f t="shared" si="3102"/>
        <v>486</v>
      </c>
      <c r="CH274" s="133">
        <f t="shared" si="3102"/>
        <v>486</v>
      </c>
      <c r="CI274" s="133">
        <f t="shared" si="3102"/>
        <v>486</v>
      </c>
      <c r="CJ274" s="133">
        <f t="shared" si="3102"/>
        <v>486</v>
      </c>
      <c r="CK274" s="133">
        <f t="shared" si="3102"/>
        <v>486</v>
      </c>
      <c r="CL274" s="133">
        <f t="shared" si="3102"/>
        <v>486</v>
      </c>
      <c r="CM274" s="133">
        <f t="shared" si="3102"/>
        <v>486</v>
      </c>
      <c r="CN274" s="133">
        <f t="shared" si="3102"/>
        <v>486</v>
      </c>
      <c r="CO274" s="133">
        <f t="shared" si="3102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129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103"/>
        <v>0</v>
      </c>
      <c r="DB274" s="4">
        <f t="shared" si="3104"/>
        <v>0</v>
      </c>
      <c r="DC274" s="4">
        <f t="shared" si="3105"/>
        <v>0</v>
      </c>
      <c r="DD274" s="136">
        <f t="shared" si="3106"/>
        <v>0</v>
      </c>
      <c r="DE274" s="31">
        <v>0</v>
      </c>
      <c r="DG274" s="31">
        <v>0</v>
      </c>
      <c r="DH274" s="48">
        <f t="shared" si="3130"/>
        <v>0</v>
      </c>
      <c r="DI274" s="62">
        <v>199.09</v>
      </c>
      <c r="DJ274" s="62">
        <v>32356.082000000002</v>
      </c>
      <c r="DK274" s="48">
        <f t="shared" si="3131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32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33"/>
        <v>0</v>
      </c>
      <c r="DV274" s="62">
        <v>0</v>
      </c>
      <c r="DW274" s="62">
        <v>0</v>
      </c>
      <c r="DX274" s="62">
        <f t="shared" si="3134"/>
        <v>0</v>
      </c>
      <c r="DY274" s="62">
        <f t="shared" si="3135"/>
        <v>0</v>
      </c>
      <c r="DZ274" s="48">
        <f t="shared" si="3136"/>
        <v>0</v>
      </c>
      <c r="EA274" s="62">
        <f t="shared" si="3137"/>
        <v>0</v>
      </c>
      <c r="EB274" s="62">
        <f t="shared" si="3138"/>
        <v>0</v>
      </c>
      <c r="EC274" s="48">
        <f t="shared" si="3139"/>
        <v>0</v>
      </c>
      <c r="ED274" s="62">
        <f t="shared" si="3140"/>
        <v>0</v>
      </c>
      <c r="EE274" s="62">
        <f t="shared" si="3141"/>
        <v>0</v>
      </c>
      <c r="EF274" s="48">
        <f t="shared" si="3142"/>
        <v>0</v>
      </c>
      <c r="EG274" s="62">
        <f t="shared" si="3143"/>
        <v>0</v>
      </c>
      <c r="EH274" s="62">
        <f t="shared" si="3144"/>
        <v>0</v>
      </c>
      <c r="EI274" s="48">
        <f t="shared" si="3145"/>
        <v>0</v>
      </c>
      <c r="EJ274" s="62">
        <f t="shared" si="3146"/>
        <v>0</v>
      </c>
      <c r="EK274" s="62">
        <f t="shared" si="3147"/>
        <v>0</v>
      </c>
      <c r="EL274" s="48">
        <f t="shared" si="3148"/>
        <v>0</v>
      </c>
      <c r="EM274" s="62">
        <f t="shared" si="3149"/>
        <v>0</v>
      </c>
      <c r="EN274" s="62">
        <f t="shared" si="3150"/>
        <v>0</v>
      </c>
      <c r="EO274" s="48">
        <f t="shared" si="3151"/>
        <v>0</v>
      </c>
      <c r="EP274" s="62">
        <f t="shared" si="3099"/>
        <v>0</v>
      </c>
      <c r="EQ274" s="62">
        <f t="shared" si="3099"/>
        <v>0</v>
      </c>
      <c r="ER274" s="62">
        <f t="shared" si="3099"/>
        <v>0</v>
      </c>
      <c r="ES274" s="62">
        <f t="shared" si="3100"/>
        <v>0</v>
      </c>
      <c r="ET274" s="62">
        <f t="shared" si="3100"/>
        <v>0</v>
      </c>
      <c r="EU274" s="62">
        <f t="shared" si="3100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52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 t="shared" si="3026"/>
        <v>1</v>
      </c>
      <c r="FS274" s="120" t="b">
        <f t="shared" si="3027"/>
        <v>1</v>
      </c>
      <c r="FT274" s="120" t="b">
        <f t="shared" si="3028"/>
        <v>1</v>
      </c>
      <c r="FU274" s="120" t="b">
        <f t="shared" si="3029"/>
        <v>1</v>
      </c>
      <c r="FV274" s="120" t="b">
        <f t="shared" si="3030"/>
        <v>1</v>
      </c>
      <c r="FW274" s="104" t="b">
        <f t="shared" si="3036"/>
        <v>0</v>
      </c>
      <c r="FX274" s="120" t="b">
        <f t="shared" si="3153"/>
        <v>1</v>
      </c>
      <c r="FY274" s="104" t="s">
        <v>368</v>
      </c>
      <c r="FZ274" s="104" t="b">
        <f t="shared" si="3154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55"/>
        <v>1</v>
      </c>
      <c r="GI274" s="8" t="b">
        <f t="shared" si="3156"/>
        <v>0</v>
      </c>
      <c r="GJ274" s="31" t="s">
        <v>203</v>
      </c>
    </row>
    <row r="275" spans="1:192" ht="30" hidden="1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107"/>
        <v>нет минмакс</v>
      </c>
      <c r="Q275" s="95">
        <v>5230</v>
      </c>
      <c r="R275" s="95">
        <f t="shared" si="3108"/>
        <v>29967.9</v>
      </c>
      <c r="S275" s="114">
        <v>7405</v>
      </c>
      <c r="T275" s="114">
        <v>42430.65</v>
      </c>
      <c r="U275" s="131">
        <f t="shared" si="3109"/>
        <v>4</v>
      </c>
      <c r="V275" s="115">
        <f t="shared" si="3110"/>
        <v>3270</v>
      </c>
      <c r="W275" s="115">
        <f t="shared" si="3111"/>
        <v>18737.100000000002</v>
      </c>
      <c r="X275" s="115">
        <f t="shared" si="3112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113"/>
        <v>0</v>
      </c>
      <c r="AF275" s="95">
        <f t="shared" si="3114"/>
        <v>0</v>
      </c>
      <c r="AG275" s="114">
        <v>0</v>
      </c>
      <c r="AH275" s="95">
        <f t="shared" si="3115"/>
        <v>3270</v>
      </c>
      <c r="AI275" s="114">
        <f t="shared" si="3116"/>
        <v>18737.100000000002</v>
      </c>
      <c r="AJ275" s="114">
        <f t="shared" si="3117"/>
        <v>0</v>
      </c>
      <c r="AK275" s="114">
        <f t="shared" ref="AK275:AK282" si="3157">SUM(CS275:CU275)</f>
        <v>2175</v>
      </c>
      <c r="AL275" s="114">
        <f t="shared" si="3118"/>
        <v>6530</v>
      </c>
      <c r="AM275" s="114">
        <f t="shared" si="3119"/>
        <v>0</v>
      </c>
      <c r="AN275" s="133" t="str">
        <f t="shared" si="3120"/>
        <v>нет оборота</v>
      </c>
      <c r="AO275" s="133" t="str">
        <f t="shared" si="3121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122"/>
        <v>Нет планов</v>
      </c>
      <c r="AW275" s="126">
        <f t="shared" si="3123"/>
        <v>18737.100000000002</v>
      </c>
      <c r="AX275" s="14">
        <f>MONTH(BC275)-6</f>
        <v>6</v>
      </c>
      <c r="AY275" s="115">
        <f t="shared" si="3124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125"/>
        <v>0</v>
      </c>
      <c r="BG275" s="32">
        <v>0</v>
      </c>
      <c r="BH275" s="32">
        <f t="shared" si="3126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127"/>
        <v>0</v>
      </c>
      <c r="BR275" s="95">
        <f t="shared" si="3128"/>
        <v>3270</v>
      </c>
      <c r="BS275" s="133">
        <f t="shared" si="3101"/>
        <v>3270</v>
      </c>
      <c r="BT275" s="133">
        <f t="shared" si="3101"/>
        <v>3270</v>
      </c>
      <c r="BU275" s="133">
        <f t="shared" si="3101"/>
        <v>3270</v>
      </c>
      <c r="BV275" s="133">
        <f t="shared" si="3101"/>
        <v>3270</v>
      </c>
      <c r="BW275" s="133">
        <f t="shared" si="3101"/>
        <v>3270</v>
      </c>
      <c r="BX275" s="133">
        <f t="shared" ref="BX275:CO276" si="3158">BW275-$BQ275</f>
        <v>3270</v>
      </c>
      <c r="BY275" s="133">
        <f t="shared" si="3158"/>
        <v>3270</v>
      </c>
      <c r="BZ275" s="133">
        <f t="shared" si="3158"/>
        <v>3270</v>
      </c>
      <c r="CA275" s="133">
        <f t="shared" si="3158"/>
        <v>3270</v>
      </c>
      <c r="CB275" s="133">
        <f t="shared" si="3158"/>
        <v>3270</v>
      </c>
      <c r="CC275" s="133">
        <f t="shared" si="3158"/>
        <v>3270</v>
      </c>
      <c r="CD275" s="133">
        <f t="shared" si="3158"/>
        <v>3270</v>
      </c>
      <c r="CE275" s="133">
        <f t="shared" si="3158"/>
        <v>3270</v>
      </c>
      <c r="CF275" s="133">
        <f t="shared" si="3158"/>
        <v>3270</v>
      </c>
      <c r="CG275" s="133">
        <f t="shared" si="3158"/>
        <v>3270</v>
      </c>
      <c r="CH275" s="133">
        <f t="shared" si="3158"/>
        <v>3270</v>
      </c>
      <c r="CI275" s="133">
        <f t="shared" si="3158"/>
        <v>3270</v>
      </c>
      <c r="CJ275" s="133">
        <f t="shared" si="3158"/>
        <v>3270</v>
      </c>
      <c r="CK275" s="133">
        <f t="shared" si="3158"/>
        <v>3270</v>
      </c>
      <c r="CL275" s="133">
        <f t="shared" si="3158"/>
        <v>3270</v>
      </c>
      <c r="CM275" s="133">
        <f t="shared" si="3158"/>
        <v>3270</v>
      </c>
      <c r="CN275" s="133">
        <f t="shared" si="3158"/>
        <v>3270</v>
      </c>
      <c r="CO275" s="133">
        <f t="shared" si="3158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129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103"/>
        <v>0</v>
      </c>
      <c r="DB275" s="4">
        <f t="shared" si="3104"/>
        <v>0</v>
      </c>
      <c r="DC275" s="4">
        <f t="shared" si="3105"/>
        <v>0</v>
      </c>
      <c r="DD275" s="136">
        <f t="shared" si="3106"/>
        <v>0</v>
      </c>
      <c r="DE275" s="31">
        <v>0</v>
      </c>
      <c r="DG275" s="31">
        <v>0</v>
      </c>
      <c r="DH275" s="48">
        <f t="shared" si="3130"/>
        <v>0</v>
      </c>
      <c r="DI275" s="62">
        <v>10952.258</v>
      </c>
      <c r="DJ275" s="62">
        <v>62782.114999999998</v>
      </c>
      <c r="DK275" s="48">
        <f t="shared" si="3131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32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33"/>
        <v>4</v>
      </c>
      <c r="DV275" s="62">
        <v>0</v>
      </c>
      <c r="DW275" s="62">
        <v>0</v>
      </c>
      <c r="DX275" s="62">
        <f t="shared" si="3134"/>
        <v>0</v>
      </c>
      <c r="DY275" s="62">
        <f t="shared" si="3135"/>
        <v>0</v>
      </c>
      <c r="DZ275" s="48">
        <f t="shared" si="3136"/>
        <v>0</v>
      </c>
      <c r="EA275" s="62">
        <f t="shared" si="3137"/>
        <v>0</v>
      </c>
      <c r="EB275" s="62">
        <f t="shared" si="3138"/>
        <v>0</v>
      </c>
      <c r="EC275" s="48">
        <f t="shared" si="3139"/>
        <v>0</v>
      </c>
      <c r="ED275" s="62">
        <f t="shared" si="3140"/>
        <v>0</v>
      </c>
      <c r="EE275" s="62">
        <f t="shared" si="3141"/>
        <v>0</v>
      </c>
      <c r="EF275" s="48">
        <f t="shared" si="3142"/>
        <v>0</v>
      </c>
      <c r="EG275" s="62">
        <f t="shared" si="3143"/>
        <v>0</v>
      </c>
      <c r="EH275" s="62">
        <f t="shared" si="3144"/>
        <v>0</v>
      </c>
      <c r="EI275" s="48">
        <f t="shared" si="3145"/>
        <v>0</v>
      </c>
      <c r="EJ275" s="62">
        <f t="shared" si="3146"/>
        <v>0</v>
      </c>
      <c r="EK275" s="62">
        <f t="shared" si="3147"/>
        <v>0</v>
      </c>
      <c r="EL275" s="48">
        <f t="shared" si="3148"/>
        <v>0</v>
      </c>
      <c r="EM275" s="62">
        <f t="shared" si="3149"/>
        <v>0</v>
      </c>
      <c r="EN275" s="62">
        <f t="shared" si="3150"/>
        <v>0</v>
      </c>
      <c r="EO275" s="48">
        <f t="shared" si="3151"/>
        <v>0</v>
      </c>
      <c r="EP275" s="62">
        <f t="shared" si="3099"/>
        <v>0</v>
      </c>
      <c r="EQ275" s="62">
        <f t="shared" si="3099"/>
        <v>0</v>
      </c>
      <c r="ER275" s="62">
        <f t="shared" si="3099"/>
        <v>0</v>
      </c>
      <c r="ES275" s="62">
        <f t="shared" si="3100"/>
        <v>0</v>
      </c>
      <c r="ET275" s="62">
        <f t="shared" si="3100"/>
        <v>0</v>
      </c>
      <c r="EU275" s="62">
        <f t="shared" si="3100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52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 t="shared" si="3026"/>
        <v>1</v>
      </c>
      <c r="FS275" s="120" t="b">
        <f t="shared" si="3027"/>
        <v>1</v>
      </c>
      <c r="FT275" s="120" t="b">
        <f t="shared" si="3028"/>
        <v>1</v>
      </c>
      <c r="FU275" s="120" t="b">
        <f t="shared" si="3029"/>
        <v>1</v>
      </c>
      <c r="FV275" s="120" t="b">
        <f t="shared" si="3030"/>
        <v>1</v>
      </c>
      <c r="FW275" s="104" t="b">
        <f t="shared" si="3036"/>
        <v>0</v>
      </c>
      <c r="FX275" s="120" t="b">
        <f t="shared" si="3153"/>
        <v>1</v>
      </c>
      <c r="FY275" s="104" t="s">
        <v>368</v>
      </c>
      <c r="FZ275" s="104" t="b">
        <f t="shared" si="3154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55"/>
        <v>1</v>
      </c>
      <c r="GI275" s="8" t="b">
        <f t="shared" si="3156"/>
        <v>0</v>
      </c>
      <c r="GJ275" s="31" t="s">
        <v>203</v>
      </c>
    </row>
    <row r="276" spans="1:192" ht="45" hidden="1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107"/>
        <v>нет минмакс</v>
      </c>
      <c r="Q276" s="95">
        <v>6798.6000671386719</v>
      </c>
      <c r="R276" s="95">
        <f t="shared" si="3108"/>
        <v>969480.36957397452</v>
      </c>
      <c r="S276" s="131">
        <v>283</v>
      </c>
      <c r="T276" s="131">
        <v>40828.410000000003</v>
      </c>
      <c r="U276" s="131">
        <f t="shared" si="3109"/>
        <v>0</v>
      </c>
      <c r="V276" s="113">
        <f t="shared" si="3110"/>
        <v>238</v>
      </c>
      <c r="W276" s="113">
        <f t="shared" si="3111"/>
        <v>33938.799999999996</v>
      </c>
      <c r="X276" s="113">
        <f t="shared" si="3112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113"/>
        <v>0</v>
      </c>
      <c r="AF276" s="95">
        <f t="shared" si="3114"/>
        <v>0</v>
      </c>
      <c r="AG276" s="114">
        <v>0</v>
      </c>
      <c r="AH276" s="95">
        <f t="shared" si="3115"/>
        <v>238</v>
      </c>
      <c r="AI276" s="114">
        <f t="shared" si="3116"/>
        <v>33938.799999999996</v>
      </c>
      <c r="AJ276" s="133">
        <f t="shared" si="3117"/>
        <v>2</v>
      </c>
      <c r="AK276" s="133">
        <f t="shared" si="3157"/>
        <v>9457</v>
      </c>
      <c r="AL276" s="133">
        <f t="shared" si="3118"/>
        <v>12217</v>
      </c>
      <c r="AM276" s="133">
        <f t="shared" si="3119"/>
        <v>0</v>
      </c>
      <c r="AN276" s="133" t="str">
        <f t="shared" si="3120"/>
        <v>нет оборота</v>
      </c>
      <c r="AO276" s="133" t="str">
        <f t="shared" si="3121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122"/>
        <v>Нет планов</v>
      </c>
      <c r="AW276" s="117">
        <f t="shared" si="3123"/>
        <v>33938.799999999996</v>
      </c>
      <c r="AX276" s="14"/>
      <c r="AY276" s="25">
        <f t="shared" si="3124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125"/>
        <v>0</v>
      </c>
      <c r="BG276" s="32">
        <v>0</v>
      </c>
      <c r="BH276" s="32">
        <f t="shared" si="3126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127"/>
        <v>0</v>
      </c>
      <c r="BR276" s="95">
        <f t="shared" si="3128"/>
        <v>238</v>
      </c>
      <c r="BS276" s="133">
        <f t="shared" si="3101"/>
        <v>238</v>
      </c>
      <c r="BT276" s="133">
        <f t="shared" si="3101"/>
        <v>238</v>
      </c>
      <c r="BU276" s="133">
        <f t="shared" si="3101"/>
        <v>238</v>
      </c>
      <c r="BV276" s="133">
        <f t="shared" si="3101"/>
        <v>238</v>
      </c>
      <c r="BW276" s="133">
        <f t="shared" si="3101"/>
        <v>238</v>
      </c>
      <c r="BX276" s="133">
        <f t="shared" si="3158"/>
        <v>238</v>
      </c>
      <c r="BY276" s="133">
        <f t="shared" si="3158"/>
        <v>238</v>
      </c>
      <c r="BZ276" s="133">
        <f t="shared" si="3158"/>
        <v>238</v>
      </c>
      <c r="CA276" s="133">
        <f t="shared" si="3158"/>
        <v>238</v>
      </c>
      <c r="CB276" s="133">
        <f t="shared" si="3158"/>
        <v>238</v>
      </c>
      <c r="CC276" s="133">
        <f t="shared" si="3158"/>
        <v>238</v>
      </c>
      <c r="CD276" s="133">
        <f t="shared" si="3158"/>
        <v>238</v>
      </c>
      <c r="CE276" s="133">
        <f t="shared" si="3158"/>
        <v>238</v>
      </c>
      <c r="CF276" s="133">
        <f t="shared" si="3158"/>
        <v>238</v>
      </c>
      <c r="CG276" s="133">
        <f t="shared" si="3158"/>
        <v>238</v>
      </c>
      <c r="CH276" s="133">
        <f t="shared" si="3158"/>
        <v>238</v>
      </c>
      <c r="CI276" s="133">
        <f t="shared" si="3158"/>
        <v>238</v>
      </c>
      <c r="CJ276" s="133">
        <f t="shared" si="3158"/>
        <v>238</v>
      </c>
      <c r="CK276" s="133">
        <f t="shared" si="3158"/>
        <v>238</v>
      </c>
      <c r="CL276" s="133">
        <f t="shared" si="3158"/>
        <v>238</v>
      </c>
      <c r="CM276" s="133">
        <f t="shared" si="3158"/>
        <v>238</v>
      </c>
      <c r="CN276" s="133">
        <f t="shared" si="3158"/>
        <v>238</v>
      </c>
      <c r="CO276" s="133">
        <f t="shared" si="3158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129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103"/>
        <v>0</v>
      </c>
      <c r="DB276" s="4">
        <f t="shared" si="3104"/>
        <v>0</v>
      </c>
      <c r="DC276" s="4">
        <f t="shared" si="3105"/>
        <v>0</v>
      </c>
      <c r="DD276" s="136">
        <f t="shared" si="3106"/>
        <v>0</v>
      </c>
      <c r="DE276" s="31">
        <v>0</v>
      </c>
      <c r="DF276" s="31">
        <v>30</v>
      </c>
      <c r="DG276" s="31">
        <v>0</v>
      </c>
      <c r="DH276" s="48">
        <f t="shared" si="3130"/>
        <v>0</v>
      </c>
      <c r="DI276" s="62">
        <v>166.06399999999999</v>
      </c>
      <c r="DJ276" s="62">
        <v>23830.258000000002</v>
      </c>
      <c r="DK276" s="48">
        <f t="shared" si="3131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32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33"/>
        <v>0</v>
      </c>
      <c r="DV276" s="62">
        <v>5812</v>
      </c>
      <c r="DW276" s="62">
        <v>840249.76464445214</v>
      </c>
      <c r="DX276" s="62">
        <f t="shared" si="3134"/>
        <v>0</v>
      </c>
      <c r="DY276" s="62">
        <f t="shared" si="3135"/>
        <v>0</v>
      </c>
      <c r="DZ276" s="48">
        <f t="shared" si="3136"/>
        <v>0</v>
      </c>
      <c r="EA276" s="62">
        <f t="shared" si="3137"/>
        <v>0</v>
      </c>
      <c r="EB276" s="62">
        <f t="shared" si="3138"/>
        <v>0</v>
      </c>
      <c r="EC276" s="48">
        <f t="shared" si="3139"/>
        <v>0</v>
      </c>
      <c r="ED276" s="62">
        <f t="shared" si="3140"/>
        <v>0</v>
      </c>
      <c r="EE276" s="62">
        <f t="shared" si="3141"/>
        <v>0</v>
      </c>
      <c r="EF276" s="48">
        <f t="shared" si="3142"/>
        <v>0</v>
      </c>
      <c r="EG276" s="62">
        <f t="shared" si="3143"/>
        <v>0</v>
      </c>
      <c r="EH276" s="62">
        <f t="shared" si="3144"/>
        <v>0</v>
      </c>
      <c r="EI276" s="48">
        <f t="shared" si="3145"/>
        <v>0</v>
      </c>
      <c r="EJ276" s="62">
        <f t="shared" si="3146"/>
        <v>0</v>
      </c>
      <c r="EK276" s="62">
        <f t="shared" si="3147"/>
        <v>0</v>
      </c>
      <c r="EL276" s="48">
        <f t="shared" si="3148"/>
        <v>0</v>
      </c>
      <c r="EM276" s="62">
        <f t="shared" si="3149"/>
        <v>0</v>
      </c>
      <c r="EN276" s="62">
        <f t="shared" si="3150"/>
        <v>0</v>
      </c>
      <c r="EO276" s="48">
        <f t="shared" si="3151"/>
        <v>0</v>
      </c>
      <c r="EP276" s="62">
        <f t="shared" ref="EP276:EU280" si="3159">BK276*$FH276</f>
        <v>0</v>
      </c>
      <c r="EQ276" s="62">
        <f t="shared" si="3159"/>
        <v>0</v>
      </c>
      <c r="ER276" s="62">
        <f t="shared" si="3159"/>
        <v>0</v>
      </c>
      <c r="ES276" s="62">
        <f t="shared" si="3159"/>
        <v>0</v>
      </c>
      <c r="ET276" s="62">
        <f t="shared" si="3159"/>
        <v>0</v>
      </c>
      <c r="EU276" s="62">
        <f t="shared" si="3159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52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 t="shared" si="3026"/>
        <v>1</v>
      </c>
      <c r="FS276" s="103" t="b">
        <f t="shared" si="3027"/>
        <v>1</v>
      </c>
      <c r="FT276" s="103" t="b">
        <f t="shared" si="3028"/>
        <v>0</v>
      </c>
      <c r="FU276" s="103" t="b">
        <f t="shared" si="3029"/>
        <v>0</v>
      </c>
      <c r="FV276" s="103" t="b">
        <f t="shared" si="3030"/>
        <v>1</v>
      </c>
      <c r="FW276" s="104" t="b">
        <f t="shared" si="3036"/>
        <v>0</v>
      </c>
      <c r="FX276" s="120" t="b">
        <f t="shared" si="3153"/>
        <v>1</v>
      </c>
      <c r="FY276" s="104" t="s">
        <v>368</v>
      </c>
      <c r="FZ276" s="104" t="b">
        <f t="shared" si="3154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55"/>
        <v>1</v>
      </c>
      <c r="GI276" s="8" t="b">
        <f t="shared" si="3156"/>
        <v>0</v>
      </c>
      <c r="GJ276" s="31" t="s">
        <v>203</v>
      </c>
    </row>
    <row r="277" spans="1:192" hidden="1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107"/>
        <v>нет минмакс</v>
      </c>
      <c r="Q277" s="95">
        <v>2033</v>
      </c>
      <c r="R277" s="95">
        <f t="shared" si="3108"/>
        <v>13722.75</v>
      </c>
      <c r="S277" s="114">
        <v>6054</v>
      </c>
      <c r="T277" s="114">
        <v>40864.5</v>
      </c>
      <c r="U277" s="131">
        <f t="shared" si="3109"/>
        <v>4</v>
      </c>
      <c r="V277" s="115">
        <f t="shared" si="3110"/>
        <v>233</v>
      </c>
      <c r="W277" s="115">
        <f t="shared" si="3111"/>
        <v>1572.75</v>
      </c>
      <c r="X277" s="115">
        <f t="shared" si="3112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113"/>
        <v>0</v>
      </c>
      <c r="AF277" s="95">
        <f t="shared" si="3114"/>
        <v>0</v>
      </c>
      <c r="AG277" s="114">
        <v>0</v>
      </c>
      <c r="AH277" s="95">
        <f t="shared" si="3115"/>
        <v>233</v>
      </c>
      <c r="AI277" s="114">
        <f t="shared" si="3116"/>
        <v>1572.75</v>
      </c>
      <c r="AJ277" s="114">
        <f t="shared" si="3117"/>
        <v>2009</v>
      </c>
      <c r="AK277" s="114">
        <f t="shared" si="3157"/>
        <v>4070</v>
      </c>
      <c r="AL277" s="114">
        <f t="shared" si="3118"/>
        <v>9167</v>
      </c>
      <c r="AM277" s="114">
        <f t="shared" si="3119"/>
        <v>10610</v>
      </c>
      <c r="AN277" s="133">
        <f t="shared" si="3120"/>
        <v>102.70688030160227</v>
      </c>
      <c r="AO277" s="133" t="str">
        <f t="shared" si="3121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122"/>
        <v>0-02</v>
      </c>
      <c r="AW277" s="126">
        <f t="shared" si="3123"/>
        <v>0</v>
      </c>
      <c r="AX277" s="138"/>
      <c r="AY277" s="115">
        <f t="shared" si="3124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125"/>
        <v>0</v>
      </c>
      <c r="BG277" s="32">
        <v>0</v>
      </c>
      <c r="BH277" s="32">
        <f t="shared" si="3126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127"/>
        <v>1768.3333333333333</v>
      </c>
      <c r="BR277" s="95">
        <f t="shared" si="3128"/>
        <v>233</v>
      </c>
      <c r="BS277" s="133">
        <f t="shared" si="3101"/>
        <v>-1567</v>
      </c>
      <c r="BT277" s="133">
        <f t="shared" si="3101"/>
        <v>-3367</v>
      </c>
      <c r="BU277" s="133">
        <f t="shared" si="3101"/>
        <v>-5167</v>
      </c>
      <c r="BV277" s="133">
        <f t="shared" si="3101"/>
        <v>-6967</v>
      </c>
      <c r="BW277" s="133">
        <f t="shared" si="3101"/>
        <v>-8577</v>
      </c>
      <c r="BX277" s="133">
        <f t="shared" ref="BX277:CO277" si="3160">BW277-$BQ277</f>
        <v>-10345.333333333334</v>
      </c>
      <c r="BY277" s="133">
        <f t="shared" si="3160"/>
        <v>-12113.666666666668</v>
      </c>
      <c r="BZ277" s="133">
        <f t="shared" si="3160"/>
        <v>-13882.000000000002</v>
      </c>
      <c r="CA277" s="133">
        <f t="shared" si="3160"/>
        <v>-15650.333333333336</v>
      </c>
      <c r="CB277" s="133">
        <f t="shared" si="3160"/>
        <v>-17418.666666666668</v>
      </c>
      <c r="CC277" s="133">
        <f t="shared" si="3160"/>
        <v>-19187</v>
      </c>
      <c r="CD277" s="133">
        <f t="shared" si="3160"/>
        <v>-20955.333333333332</v>
      </c>
      <c r="CE277" s="133">
        <f t="shared" si="3160"/>
        <v>-22723.666666666664</v>
      </c>
      <c r="CF277" s="133">
        <f t="shared" si="3160"/>
        <v>-24491.999999999996</v>
      </c>
      <c r="CG277" s="133">
        <f t="shared" si="3160"/>
        <v>-26260.333333333328</v>
      </c>
      <c r="CH277" s="133">
        <f t="shared" si="3160"/>
        <v>-28028.666666666661</v>
      </c>
      <c r="CI277" s="133">
        <f t="shared" si="3160"/>
        <v>-29796.999999999993</v>
      </c>
      <c r="CJ277" s="133">
        <f t="shared" si="3160"/>
        <v>-31565.333333333325</v>
      </c>
      <c r="CK277" s="133">
        <f t="shared" si="3160"/>
        <v>-33333.666666666657</v>
      </c>
      <c r="CL277" s="133">
        <f t="shared" si="3160"/>
        <v>-35101.999999999993</v>
      </c>
      <c r="CM277" s="133">
        <f t="shared" si="3160"/>
        <v>-36870.333333333328</v>
      </c>
      <c r="CN277" s="133">
        <f t="shared" si="3160"/>
        <v>-38638.666666666664</v>
      </c>
      <c r="CO277" s="133">
        <f t="shared" si="3160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129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103"/>
        <v>0</v>
      </c>
      <c r="DB277" s="4">
        <f t="shared" si="3104"/>
        <v>0</v>
      </c>
      <c r="DC277" s="4">
        <f t="shared" si="3105"/>
        <v>0</v>
      </c>
      <c r="DD277" s="136">
        <f t="shared" si="3106"/>
        <v>0</v>
      </c>
      <c r="DE277" s="31">
        <v>0</v>
      </c>
      <c r="DG277" s="31">
        <v>0</v>
      </c>
      <c r="DH277" s="48">
        <f t="shared" si="3130"/>
        <v>0</v>
      </c>
      <c r="DI277" s="62">
        <v>9827.7420000000002</v>
      </c>
      <c r="DJ277" s="62">
        <v>66367.502000000008</v>
      </c>
      <c r="DK277" s="48">
        <f t="shared" si="3131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32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33"/>
        <v>4</v>
      </c>
      <c r="DV277" s="62">
        <v>196</v>
      </c>
      <c r="DW277" s="62">
        <v>1323.6030769230767</v>
      </c>
      <c r="DX277" s="62">
        <f t="shared" si="3134"/>
        <v>0</v>
      </c>
      <c r="DY277" s="62">
        <f t="shared" si="3135"/>
        <v>0</v>
      </c>
      <c r="DZ277" s="48">
        <f t="shared" si="3136"/>
        <v>0</v>
      </c>
      <c r="EA277" s="62">
        <f t="shared" si="3137"/>
        <v>0</v>
      </c>
      <c r="EB277" s="62">
        <f t="shared" si="3138"/>
        <v>0</v>
      </c>
      <c r="EC277" s="48">
        <f t="shared" si="3139"/>
        <v>0</v>
      </c>
      <c r="ED277" s="62">
        <f t="shared" si="3140"/>
        <v>0</v>
      </c>
      <c r="EE277" s="62">
        <f t="shared" si="3141"/>
        <v>0</v>
      </c>
      <c r="EF277" s="48">
        <f t="shared" si="3142"/>
        <v>0</v>
      </c>
      <c r="EG277" s="62">
        <f t="shared" si="3143"/>
        <v>0</v>
      </c>
      <c r="EH277" s="62">
        <f t="shared" si="3144"/>
        <v>0</v>
      </c>
      <c r="EI277" s="48">
        <f t="shared" si="3145"/>
        <v>0</v>
      </c>
      <c r="EJ277" s="62">
        <f t="shared" si="3146"/>
        <v>0</v>
      </c>
      <c r="EK277" s="62">
        <f t="shared" si="3147"/>
        <v>0</v>
      </c>
      <c r="EL277" s="48">
        <f t="shared" si="3148"/>
        <v>0</v>
      </c>
      <c r="EM277" s="62">
        <f t="shared" si="3149"/>
        <v>0</v>
      </c>
      <c r="EN277" s="62">
        <f t="shared" si="3150"/>
        <v>0</v>
      </c>
      <c r="EO277" s="48">
        <f t="shared" si="3151"/>
        <v>0</v>
      </c>
      <c r="EP277" s="62">
        <f t="shared" si="3159"/>
        <v>12150</v>
      </c>
      <c r="EQ277" s="62">
        <f t="shared" si="3159"/>
        <v>12150</v>
      </c>
      <c r="ER277" s="62">
        <f t="shared" si="3159"/>
        <v>12150</v>
      </c>
      <c r="ES277" s="62">
        <f t="shared" si="3159"/>
        <v>12150</v>
      </c>
      <c r="ET277" s="62">
        <f t="shared" si="3159"/>
        <v>12150</v>
      </c>
      <c r="EU277" s="62">
        <f t="shared" si="3159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52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 t="shared" si="3026"/>
        <v>1</v>
      </c>
      <c r="FS277" s="120" t="b">
        <f t="shared" si="3027"/>
        <v>1</v>
      </c>
      <c r="FT277" s="120" t="b">
        <f t="shared" si="3028"/>
        <v>1</v>
      </c>
      <c r="FU277" s="120" t="b">
        <f t="shared" si="3029"/>
        <v>1</v>
      </c>
      <c r="FV277" s="120" t="b">
        <f t="shared" si="3030"/>
        <v>1</v>
      </c>
      <c r="FW277" s="104" t="b">
        <f t="shared" si="3036"/>
        <v>0</v>
      </c>
      <c r="FX277" s="120" t="b">
        <f t="shared" si="3153"/>
        <v>1</v>
      </c>
      <c r="FY277" s="104" t="s">
        <v>368</v>
      </c>
      <c r="FZ277" s="104" t="b">
        <f t="shared" si="3154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55"/>
        <v>1</v>
      </c>
      <c r="GI277" s="8" t="b">
        <f t="shared" si="3156"/>
        <v>0</v>
      </c>
      <c r="GJ277" s="31" t="s">
        <v>203</v>
      </c>
    </row>
    <row r="278" spans="1:192" hidden="1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107"/>
        <v>нет минмакс</v>
      </c>
      <c r="Q278" s="95">
        <v>17379</v>
      </c>
      <c r="R278" s="95">
        <f t="shared" si="3108"/>
        <v>35279.369999999995</v>
      </c>
      <c r="S278" s="114">
        <v>18139</v>
      </c>
      <c r="T278" s="114">
        <v>37184.949999999997</v>
      </c>
      <c r="U278" s="131">
        <f t="shared" si="3109"/>
        <v>1</v>
      </c>
      <c r="V278" s="115">
        <f t="shared" si="3110"/>
        <v>19598</v>
      </c>
      <c r="W278" s="115">
        <f t="shared" si="3111"/>
        <v>39783.939999999995</v>
      </c>
      <c r="X278" s="115">
        <f t="shared" si="3112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113"/>
        <v>0</v>
      </c>
      <c r="AF278" s="95">
        <f t="shared" si="3114"/>
        <v>0</v>
      </c>
      <c r="AG278" s="114">
        <v>0</v>
      </c>
      <c r="AH278" s="95">
        <f t="shared" si="3115"/>
        <v>19598</v>
      </c>
      <c r="AI278" s="114">
        <f t="shared" si="3116"/>
        <v>39783.939999999995</v>
      </c>
      <c r="AJ278" s="114">
        <f t="shared" si="3117"/>
        <v>93444</v>
      </c>
      <c r="AK278" s="114">
        <f t="shared" si="3157"/>
        <v>117998</v>
      </c>
      <c r="AL278" s="114">
        <f t="shared" si="3118"/>
        <v>170399</v>
      </c>
      <c r="AM278" s="114">
        <f t="shared" si="3119"/>
        <v>359716</v>
      </c>
      <c r="AN278" s="133">
        <f t="shared" si="3120"/>
        <v>9.0766604765982066</v>
      </c>
      <c r="AO278" s="133" t="str">
        <f t="shared" si="3121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122"/>
        <v>0-01</v>
      </c>
      <c r="AW278" s="126">
        <f t="shared" si="3123"/>
        <v>0</v>
      </c>
      <c r="AX278" s="138"/>
      <c r="AY278" s="115">
        <f t="shared" si="3124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125"/>
        <v>0</v>
      </c>
      <c r="BG278" s="32">
        <v>0</v>
      </c>
      <c r="BH278" s="32">
        <f t="shared" si="3126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127"/>
        <v>59952.666666666664</v>
      </c>
      <c r="BR278" s="95">
        <f t="shared" si="3128"/>
        <v>-72671</v>
      </c>
      <c r="BS278" s="133">
        <f t="shared" ref="BS278:BW283" si="3161">BR278-BL278</f>
        <v>-216691</v>
      </c>
      <c r="BT278" s="133">
        <f t="shared" si="3161"/>
        <v>-240126</v>
      </c>
      <c r="BU278" s="133">
        <f t="shared" si="3161"/>
        <v>-269924</v>
      </c>
      <c r="BV278" s="133">
        <f t="shared" si="3161"/>
        <v>-307905</v>
      </c>
      <c r="BW278" s="133">
        <f t="shared" si="3161"/>
        <v>-340118</v>
      </c>
      <c r="BX278" s="133">
        <f t="shared" ref="BX278:CO279" si="3162">BW278-$BQ278</f>
        <v>-400070.66666666669</v>
      </c>
      <c r="BY278" s="133">
        <f t="shared" si="3162"/>
        <v>-460023.33333333337</v>
      </c>
      <c r="BZ278" s="133">
        <f t="shared" si="3162"/>
        <v>-519976.00000000006</v>
      </c>
      <c r="CA278" s="133">
        <f t="shared" si="3162"/>
        <v>-579928.66666666674</v>
      </c>
      <c r="CB278" s="133">
        <f t="shared" si="3162"/>
        <v>-639881.33333333337</v>
      </c>
      <c r="CC278" s="133">
        <f t="shared" si="3162"/>
        <v>-699834</v>
      </c>
      <c r="CD278" s="133">
        <f t="shared" si="3162"/>
        <v>-759786.66666666663</v>
      </c>
      <c r="CE278" s="133">
        <f t="shared" si="3162"/>
        <v>-819739.33333333326</v>
      </c>
      <c r="CF278" s="133">
        <f t="shared" si="3162"/>
        <v>-879691.99999999988</v>
      </c>
      <c r="CG278" s="133">
        <f t="shared" si="3162"/>
        <v>-939644.66666666651</v>
      </c>
      <c r="CH278" s="133">
        <f t="shared" si="3162"/>
        <v>-999597.33333333314</v>
      </c>
      <c r="CI278" s="133">
        <f t="shared" si="3162"/>
        <v>-1059549.9999999998</v>
      </c>
      <c r="CJ278" s="133">
        <f t="shared" si="3162"/>
        <v>-1119502.6666666665</v>
      </c>
      <c r="CK278" s="133">
        <f t="shared" si="3162"/>
        <v>-1179455.3333333333</v>
      </c>
      <c r="CL278" s="133">
        <f t="shared" si="3162"/>
        <v>-1239408</v>
      </c>
      <c r="CM278" s="133">
        <f t="shared" si="3162"/>
        <v>-1299360.6666666667</v>
      </c>
      <c r="CN278" s="133">
        <f t="shared" si="3162"/>
        <v>-1359313.3333333335</v>
      </c>
      <c r="CO278" s="133">
        <f t="shared" si="3162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129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103"/>
        <v>0</v>
      </c>
      <c r="DB278" s="4">
        <f t="shared" si="3104"/>
        <v>0</v>
      </c>
      <c r="DC278" s="4">
        <f t="shared" si="3105"/>
        <v>0</v>
      </c>
      <c r="DD278" s="136">
        <f t="shared" si="3106"/>
        <v>0</v>
      </c>
      <c r="DE278" s="31">
        <v>0</v>
      </c>
      <c r="DG278" s="31">
        <v>0</v>
      </c>
      <c r="DH278" s="48">
        <f t="shared" si="3130"/>
        <v>0</v>
      </c>
      <c r="DI278" s="62">
        <v>8674.1929999999993</v>
      </c>
      <c r="DJ278" s="62">
        <v>17864.648999999998</v>
      </c>
      <c r="DK278" s="48">
        <f t="shared" si="3131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32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33"/>
        <v>1</v>
      </c>
      <c r="DV278" s="62">
        <v>20628</v>
      </c>
      <c r="DW278" s="62">
        <v>43460.808347998507</v>
      </c>
      <c r="DX278" s="62">
        <f t="shared" si="3134"/>
        <v>0</v>
      </c>
      <c r="DY278" s="62">
        <f t="shared" si="3135"/>
        <v>0</v>
      </c>
      <c r="DZ278" s="48">
        <f t="shared" si="3136"/>
        <v>0</v>
      </c>
      <c r="EA278" s="62">
        <f t="shared" si="3137"/>
        <v>0</v>
      </c>
      <c r="EB278" s="62">
        <f t="shared" si="3138"/>
        <v>0</v>
      </c>
      <c r="EC278" s="48">
        <f t="shared" si="3139"/>
        <v>0</v>
      </c>
      <c r="ED278" s="62">
        <f t="shared" si="3140"/>
        <v>0</v>
      </c>
      <c r="EE278" s="62">
        <f t="shared" si="3141"/>
        <v>0</v>
      </c>
      <c r="EF278" s="48">
        <f t="shared" si="3142"/>
        <v>0</v>
      </c>
      <c r="EG278" s="62">
        <f t="shared" si="3143"/>
        <v>0</v>
      </c>
      <c r="EH278" s="62">
        <f t="shared" si="3144"/>
        <v>0</v>
      </c>
      <c r="EI278" s="48">
        <f t="shared" si="3145"/>
        <v>0</v>
      </c>
      <c r="EJ278" s="62">
        <f t="shared" si="3146"/>
        <v>0</v>
      </c>
      <c r="EK278" s="62">
        <f t="shared" si="3147"/>
        <v>0</v>
      </c>
      <c r="EL278" s="48">
        <f t="shared" si="3148"/>
        <v>0</v>
      </c>
      <c r="EM278" s="62">
        <f t="shared" si="3149"/>
        <v>0</v>
      </c>
      <c r="EN278" s="62">
        <f t="shared" si="3150"/>
        <v>0</v>
      </c>
      <c r="EO278" s="48">
        <f t="shared" si="3151"/>
        <v>0</v>
      </c>
      <c r="EP278" s="62">
        <f t="shared" si="3159"/>
        <v>187306.06999999998</v>
      </c>
      <c r="EQ278" s="62">
        <f t="shared" si="3159"/>
        <v>292360.59999999998</v>
      </c>
      <c r="ER278" s="62">
        <f t="shared" si="3159"/>
        <v>47573.049999999996</v>
      </c>
      <c r="ES278" s="62">
        <f t="shared" si="3159"/>
        <v>60489.939999999995</v>
      </c>
      <c r="ET278" s="62">
        <f t="shared" si="3159"/>
        <v>77101.429999999993</v>
      </c>
      <c r="EU278" s="62">
        <f t="shared" si="3159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52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 t="shared" si="3026"/>
        <v>1</v>
      </c>
      <c r="FS278" s="120" t="b">
        <f t="shared" si="3027"/>
        <v>1</v>
      </c>
      <c r="FT278" s="120" t="b">
        <f t="shared" si="3028"/>
        <v>1</v>
      </c>
      <c r="FU278" s="120" t="b">
        <f t="shared" si="3029"/>
        <v>1</v>
      </c>
      <c r="FV278" s="120" t="b">
        <f t="shared" si="3030"/>
        <v>1</v>
      </c>
      <c r="FW278" s="104" t="b">
        <f t="shared" si="3036"/>
        <v>0</v>
      </c>
      <c r="FX278" s="120" t="b">
        <f t="shared" si="3153"/>
        <v>1</v>
      </c>
      <c r="FY278" s="104" t="s">
        <v>368</v>
      </c>
      <c r="FZ278" s="104" t="b">
        <f t="shared" si="3154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55"/>
        <v>1</v>
      </c>
      <c r="GI278" s="8" t="b">
        <f t="shared" si="3156"/>
        <v>0</v>
      </c>
      <c r="GJ278" s="31" t="s">
        <v>203</v>
      </c>
    </row>
    <row r="279" spans="1:192" ht="30" hidden="1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107"/>
        <v>нет минмакс</v>
      </c>
      <c r="Q279" s="95">
        <v>6015</v>
      </c>
      <c r="R279" s="95">
        <f t="shared" si="3108"/>
        <v>37533.599999999999</v>
      </c>
      <c r="S279" s="131">
        <v>6015</v>
      </c>
      <c r="T279" s="131">
        <v>37533.599999999999</v>
      </c>
      <c r="U279" s="131">
        <f t="shared" si="3109"/>
        <v>1</v>
      </c>
      <c r="V279" s="113">
        <f t="shared" si="3110"/>
        <v>6015</v>
      </c>
      <c r="W279" s="113">
        <f t="shared" si="3111"/>
        <v>37533.599999999999</v>
      </c>
      <c r="X279" s="113">
        <f t="shared" si="3112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113"/>
        <v>0</v>
      </c>
      <c r="AF279" s="95">
        <f t="shared" si="3114"/>
        <v>0</v>
      </c>
      <c r="AG279" s="114">
        <v>0</v>
      </c>
      <c r="AH279" s="95">
        <f t="shared" si="3115"/>
        <v>6015</v>
      </c>
      <c r="AI279" s="114">
        <f t="shared" si="3116"/>
        <v>37533.599999999999</v>
      </c>
      <c r="AJ279" s="133">
        <f t="shared" si="3117"/>
        <v>0</v>
      </c>
      <c r="AK279" s="133">
        <f t="shared" si="3157"/>
        <v>0</v>
      </c>
      <c r="AL279" s="133">
        <f t="shared" si="3118"/>
        <v>0</v>
      </c>
      <c r="AM279" s="133">
        <f t="shared" si="3119"/>
        <v>0</v>
      </c>
      <c r="AN279" s="133" t="str">
        <f t="shared" si="3120"/>
        <v>нет оборота</v>
      </c>
      <c r="AO279" s="133" t="str">
        <f t="shared" si="3121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122"/>
        <v>Нет планов</v>
      </c>
      <c r="AW279" s="117">
        <f t="shared" si="3123"/>
        <v>37533.599999999999</v>
      </c>
      <c r="AX279" s="14"/>
      <c r="AY279" s="25">
        <f t="shared" si="3124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125"/>
        <v>37533.599999999999</v>
      </c>
      <c r="BG279" s="32">
        <v>0</v>
      </c>
      <c r="BH279" s="32">
        <f t="shared" si="3126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127"/>
        <v>0</v>
      </c>
      <c r="BR279" s="95">
        <f t="shared" si="3128"/>
        <v>6015</v>
      </c>
      <c r="BS279" s="133">
        <f t="shared" si="3161"/>
        <v>6015</v>
      </c>
      <c r="BT279" s="133">
        <f t="shared" si="3161"/>
        <v>6015</v>
      </c>
      <c r="BU279" s="133">
        <f t="shared" si="3161"/>
        <v>6015</v>
      </c>
      <c r="BV279" s="133">
        <f t="shared" si="3161"/>
        <v>6015</v>
      </c>
      <c r="BW279" s="133">
        <f t="shared" si="3161"/>
        <v>6015</v>
      </c>
      <c r="BX279" s="133">
        <f t="shared" si="3162"/>
        <v>6015</v>
      </c>
      <c r="BY279" s="133">
        <f t="shared" si="3162"/>
        <v>6015</v>
      </c>
      <c r="BZ279" s="133">
        <f t="shared" si="3162"/>
        <v>6015</v>
      </c>
      <c r="CA279" s="133">
        <f t="shared" si="3162"/>
        <v>6015</v>
      </c>
      <c r="CB279" s="133">
        <f t="shared" si="3162"/>
        <v>6015</v>
      </c>
      <c r="CC279" s="133">
        <f t="shared" si="3162"/>
        <v>6015</v>
      </c>
      <c r="CD279" s="133">
        <f t="shared" si="3162"/>
        <v>6015</v>
      </c>
      <c r="CE279" s="133">
        <f t="shared" si="3162"/>
        <v>6015</v>
      </c>
      <c r="CF279" s="133">
        <f t="shared" si="3162"/>
        <v>6015</v>
      </c>
      <c r="CG279" s="133">
        <f t="shared" si="3162"/>
        <v>6015</v>
      </c>
      <c r="CH279" s="133">
        <f t="shared" si="3162"/>
        <v>6015</v>
      </c>
      <c r="CI279" s="133">
        <f t="shared" si="3162"/>
        <v>6015</v>
      </c>
      <c r="CJ279" s="133">
        <f t="shared" si="3162"/>
        <v>6015</v>
      </c>
      <c r="CK279" s="133">
        <f t="shared" si="3162"/>
        <v>6015</v>
      </c>
      <c r="CL279" s="133">
        <f t="shared" si="3162"/>
        <v>6015</v>
      </c>
      <c r="CM279" s="133">
        <f t="shared" si="3162"/>
        <v>6015</v>
      </c>
      <c r="CN279" s="133">
        <f t="shared" si="3162"/>
        <v>6015</v>
      </c>
      <c r="CO279" s="133">
        <f t="shared" si="3162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129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103"/>
        <v>0</v>
      </c>
      <c r="DB279" s="4">
        <f t="shared" si="3104"/>
        <v>0</v>
      </c>
      <c r="DC279" s="4">
        <f t="shared" si="3105"/>
        <v>0</v>
      </c>
      <c r="DD279" s="136">
        <f t="shared" si="3106"/>
        <v>0</v>
      </c>
      <c r="DE279" s="31">
        <v>0</v>
      </c>
      <c r="DF279" s="31">
        <v>30</v>
      </c>
      <c r="DG279" s="31">
        <v>0</v>
      </c>
      <c r="DH279" s="48">
        <f t="shared" si="3130"/>
        <v>0</v>
      </c>
      <c r="DI279" s="62">
        <v>6015</v>
      </c>
      <c r="DJ279" s="62">
        <v>37533.599999999999</v>
      </c>
      <c r="DK279" s="48">
        <f t="shared" si="3131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32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33"/>
        <v>1</v>
      </c>
      <c r="DV279" s="62">
        <v>0</v>
      </c>
      <c r="DW279" s="62">
        <v>0</v>
      </c>
      <c r="DX279" s="62">
        <f t="shared" si="3134"/>
        <v>0</v>
      </c>
      <c r="DY279" s="62">
        <f t="shared" si="3135"/>
        <v>0</v>
      </c>
      <c r="DZ279" s="48">
        <f t="shared" si="3136"/>
        <v>0</v>
      </c>
      <c r="EA279" s="62">
        <f t="shared" si="3137"/>
        <v>0</v>
      </c>
      <c r="EB279" s="62">
        <f t="shared" si="3138"/>
        <v>0</v>
      </c>
      <c r="EC279" s="48">
        <f t="shared" si="3139"/>
        <v>0</v>
      </c>
      <c r="ED279" s="62">
        <f t="shared" si="3140"/>
        <v>0</v>
      </c>
      <c r="EE279" s="62">
        <f t="shared" si="3141"/>
        <v>0</v>
      </c>
      <c r="EF279" s="48">
        <f t="shared" si="3142"/>
        <v>0</v>
      </c>
      <c r="EG279" s="62">
        <f t="shared" si="3143"/>
        <v>0</v>
      </c>
      <c r="EH279" s="62">
        <f t="shared" si="3144"/>
        <v>0</v>
      </c>
      <c r="EI279" s="48">
        <f t="shared" si="3145"/>
        <v>0</v>
      </c>
      <c r="EJ279" s="62">
        <f t="shared" si="3146"/>
        <v>0</v>
      </c>
      <c r="EK279" s="62">
        <f t="shared" si="3147"/>
        <v>0</v>
      </c>
      <c r="EL279" s="48">
        <f t="shared" si="3148"/>
        <v>0</v>
      </c>
      <c r="EM279" s="62">
        <f t="shared" si="3149"/>
        <v>0</v>
      </c>
      <c r="EN279" s="62">
        <f t="shared" si="3150"/>
        <v>0</v>
      </c>
      <c r="EO279" s="48">
        <f t="shared" si="3151"/>
        <v>0</v>
      </c>
      <c r="EP279" s="62">
        <f t="shared" si="3159"/>
        <v>0</v>
      </c>
      <c r="EQ279" s="62">
        <f t="shared" si="3159"/>
        <v>0</v>
      </c>
      <c r="ER279" s="62">
        <f t="shared" si="3159"/>
        <v>0</v>
      </c>
      <c r="ES279" s="62">
        <f t="shared" si="3159"/>
        <v>0</v>
      </c>
      <c r="ET279" s="62">
        <f t="shared" si="3159"/>
        <v>0</v>
      </c>
      <c r="EU279" s="62">
        <f t="shared" si="3159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52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 t="shared" si="3026"/>
        <v>1</v>
      </c>
      <c r="FS279" s="103" t="b">
        <f t="shared" si="3027"/>
        <v>1</v>
      </c>
      <c r="FT279" s="103" t="b">
        <f t="shared" si="3028"/>
        <v>0</v>
      </c>
      <c r="FU279" s="103" t="b">
        <f t="shared" si="3029"/>
        <v>0</v>
      </c>
      <c r="FV279" s="103" t="b">
        <f t="shared" si="3030"/>
        <v>1</v>
      </c>
      <c r="FW279" s="104" t="b">
        <f t="shared" si="3036"/>
        <v>0</v>
      </c>
      <c r="FX279" s="120" t="b">
        <f t="shared" si="3153"/>
        <v>1</v>
      </c>
      <c r="FY279" s="104" t="s">
        <v>368</v>
      </c>
      <c r="FZ279" s="104" t="b">
        <f t="shared" si="3154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55"/>
        <v>1</v>
      </c>
      <c r="GI279" s="8" t="b">
        <f t="shared" si="3156"/>
        <v>0</v>
      </c>
      <c r="GJ279" s="31" t="s">
        <v>203</v>
      </c>
    </row>
    <row r="280" spans="1:192" hidden="1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63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108"/>
        <v>100408.04</v>
      </c>
      <c r="S280" s="114">
        <v>29406</v>
      </c>
      <c r="T280" s="114">
        <v>40874.339999999997</v>
      </c>
      <c r="U280" s="131">
        <f t="shared" ref="U280:U286" si="3164">IFERROR(ROUNDUP(S280/$EX280,0)*$EY280,0)</f>
        <v>2</v>
      </c>
      <c r="V280" s="115">
        <f t="shared" si="3110"/>
        <v>92479</v>
      </c>
      <c r="W280" s="115">
        <f t="shared" ref="W280:W286" si="3165">V280*FH280</f>
        <v>128545.81</v>
      </c>
      <c r="X280" s="115">
        <f t="shared" ref="X280:X286" si="3166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67">AA280*FH280</f>
        <v>0</v>
      </c>
      <c r="AF280" s="95">
        <f t="shared" ref="AF280:AF286" si="3168">AB280*FH280</f>
        <v>0</v>
      </c>
      <c r="AG280" s="114">
        <v>0</v>
      </c>
      <c r="AH280" s="95">
        <f t="shared" si="3115"/>
        <v>92479</v>
      </c>
      <c r="AI280" s="114">
        <f t="shared" ref="AI280:AI286" si="3169">IF(AH280&gt;0,AH280*FH280,0)</f>
        <v>128545.81</v>
      </c>
      <c r="AJ280" s="114">
        <f t="shared" si="3117"/>
        <v>368953</v>
      </c>
      <c r="AK280" s="114">
        <f t="shared" si="3157"/>
        <v>1100387</v>
      </c>
      <c r="AL280" s="114">
        <f t="shared" si="3118"/>
        <v>2459816</v>
      </c>
      <c r="AM280" s="114">
        <f t="shared" si="3119"/>
        <v>3453977</v>
      </c>
      <c r="AN280" s="133">
        <f t="shared" ref="AN280:AN286" si="3170">IFERROR(S280/BQ280*30,"нет оборота")</f>
        <v>1.532459538670929</v>
      </c>
      <c r="AO280" s="133" t="str">
        <f t="shared" ref="AO280:AO286" si="3171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72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73">IF(AT280="Да",W280,0)</f>
        <v>0</v>
      </c>
      <c r="AX280" s="138"/>
      <c r="AY280" s="115">
        <f t="shared" ref="AY280:AY286" si="3174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75">BE280*FH280</f>
        <v>0</v>
      </c>
      <c r="BG280" s="32">
        <v>0</v>
      </c>
      <c r="BH280" s="32">
        <f t="shared" ref="BH280:BH286" si="3176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77">IF(COUNTIF(BK280:BP280,"&gt;0")=0,0,SUM(BK280:BP280)/COUNTIF(BK280:BP280,"&gt;0"))</f>
        <v>575662.83333333337</v>
      </c>
      <c r="BR280" s="95">
        <f t="shared" ref="BR280:BR286" si="3178">IF(OR(Q280=0,SUM(BK280:BP280)=0,V280&gt;Q280),V280-BK280,Q280-BK280)</f>
        <v>-289212</v>
      </c>
      <c r="BS280" s="133">
        <f t="shared" si="3161"/>
        <v>-945053</v>
      </c>
      <c r="BT280" s="133">
        <f t="shared" si="3161"/>
        <v>-1642909</v>
      </c>
      <c r="BU280" s="133">
        <f t="shared" si="3161"/>
        <v>-2220802</v>
      </c>
      <c r="BV280" s="133">
        <f t="shared" si="3161"/>
        <v>-2763075</v>
      </c>
      <c r="BW280" s="133">
        <f t="shared" si="3161"/>
        <v>-3361498</v>
      </c>
      <c r="BX280" s="133">
        <f t="shared" ref="BX280:CO281" si="3179">BW280-$BQ280</f>
        <v>-3937160.8333333335</v>
      </c>
      <c r="BY280" s="133">
        <f t="shared" si="3179"/>
        <v>-4512823.666666667</v>
      </c>
      <c r="BZ280" s="133">
        <f t="shared" si="3179"/>
        <v>-5088486.5</v>
      </c>
      <c r="CA280" s="133">
        <f t="shared" si="3179"/>
        <v>-5664149.333333333</v>
      </c>
      <c r="CB280" s="133">
        <f t="shared" si="3179"/>
        <v>-6239812.166666666</v>
      </c>
      <c r="CC280" s="133">
        <f t="shared" si="3179"/>
        <v>-6815474.9999999991</v>
      </c>
      <c r="CD280" s="133">
        <f t="shared" si="3179"/>
        <v>-7391137.8333333321</v>
      </c>
      <c r="CE280" s="133">
        <f t="shared" si="3179"/>
        <v>-7966800.6666666651</v>
      </c>
      <c r="CF280" s="133">
        <f t="shared" si="3179"/>
        <v>-8542463.4999999981</v>
      </c>
      <c r="CG280" s="133">
        <f t="shared" si="3179"/>
        <v>-9118126.3333333321</v>
      </c>
      <c r="CH280" s="133">
        <f t="shared" si="3179"/>
        <v>-9693789.166666666</v>
      </c>
      <c r="CI280" s="133">
        <f t="shared" si="3179"/>
        <v>-10269452</v>
      </c>
      <c r="CJ280" s="133">
        <f t="shared" si="3179"/>
        <v>-10845114.833333334</v>
      </c>
      <c r="CK280" s="133">
        <f t="shared" si="3179"/>
        <v>-11420777.666666668</v>
      </c>
      <c r="CL280" s="133">
        <f t="shared" si="3179"/>
        <v>-11996440.500000002</v>
      </c>
      <c r="CM280" s="133">
        <f t="shared" si="3179"/>
        <v>-12572103.333333336</v>
      </c>
      <c r="CN280" s="133">
        <f t="shared" si="3179"/>
        <v>-13147766.16666667</v>
      </c>
      <c r="CO280" s="133">
        <f t="shared" si="3179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80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81">IFERROR(CZ280/CY280,0)</f>
        <v>0</v>
      </c>
      <c r="DB280" s="4">
        <f t="shared" ref="DB280:DB283" si="3182">CY280*FH280</f>
        <v>0</v>
      </c>
      <c r="DC280" s="4">
        <f t="shared" ref="DC280:DC283" si="3183">CZ280*FH280</f>
        <v>0</v>
      </c>
      <c r="DD280" s="136">
        <f t="shared" ref="DD280:DD283" si="3184">IFERROR(DC280/DB280,0)</f>
        <v>0</v>
      </c>
      <c r="DE280" s="31">
        <v>0</v>
      </c>
      <c r="DG280" s="31">
        <v>0</v>
      </c>
      <c r="DH280" s="48">
        <f t="shared" si="3130"/>
        <v>0</v>
      </c>
      <c r="DI280" s="62">
        <v>213390.516</v>
      </c>
      <c r="DJ280" s="62">
        <v>261576.86299999998</v>
      </c>
      <c r="DK280" s="48">
        <f t="shared" ref="DK280:DK286" si="3185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86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87">IFERROR(ROUNDUP(DS280/$EX280,0)*$EY280,0)</f>
        <v>2</v>
      </c>
      <c r="DV280" s="62">
        <v>373285</v>
      </c>
      <c r="DW280" s="62">
        <v>464377.76542483491</v>
      </c>
      <c r="DX280" s="62">
        <f t="shared" si="3134"/>
        <v>0</v>
      </c>
      <c r="DY280" s="62">
        <f t="shared" ref="DY280:DY286" si="3188">DX280*$FH280</f>
        <v>0</v>
      </c>
      <c r="DZ280" s="48">
        <f t="shared" si="3136"/>
        <v>0</v>
      </c>
      <c r="EA280" s="62">
        <f t="shared" si="3137"/>
        <v>0</v>
      </c>
      <c r="EB280" s="62">
        <f t="shared" ref="EB280:EB286" si="3189">EA280*$FH280</f>
        <v>0</v>
      </c>
      <c r="EC280" s="48">
        <f t="shared" si="3139"/>
        <v>0</v>
      </c>
      <c r="ED280" s="62">
        <f t="shared" si="3140"/>
        <v>0</v>
      </c>
      <c r="EE280" s="62">
        <f t="shared" ref="EE280:EE286" si="3190">ED280*$FH280</f>
        <v>0</v>
      </c>
      <c r="EF280" s="48">
        <f t="shared" si="3142"/>
        <v>0</v>
      </c>
      <c r="EG280" s="62">
        <f t="shared" si="3143"/>
        <v>0</v>
      </c>
      <c r="EH280" s="62">
        <f t="shared" ref="EH280:EH286" si="3191">EG280*$FH280</f>
        <v>0</v>
      </c>
      <c r="EI280" s="48">
        <f t="shared" si="3145"/>
        <v>0</v>
      </c>
      <c r="EJ280" s="62">
        <f t="shared" si="3146"/>
        <v>0</v>
      </c>
      <c r="EK280" s="62">
        <f t="shared" ref="EK280:EK286" si="3192">EJ280*$FH280</f>
        <v>0</v>
      </c>
      <c r="EL280" s="48">
        <f t="shared" si="3148"/>
        <v>0</v>
      </c>
      <c r="EM280" s="62">
        <f t="shared" si="3149"/>
        <v>0</v>
      </c>
      <c r="EN280" s="62">
        <f t="shared" ref="EN280:EN286" si="3193">EM280*$FH280</f>
        <v>0</v>
      </c>
      <c r="EO280" s="48">
        <f t="shared" si="3151"/>
        <v>0</v>
      </c>
      <c r="EP280" s="62">
        <f t="shared" si="3159"/>
        <v>530550.49</v>
      </c>
      <c r="EQ280" s="62">
        <f t="shared" si="3159"/>
        <v>911618.99</v>
      </c>
      <c r="ER280" s="62">
        <f t="shared" si="3159"/>
        <v>970019.83999999997</v>
      </c>
      <c r="ES280" s="62">
        <f t="shared" si="3159"/>
        <v>803271.2699999999</v>
      </c>
      <c r="ET280" s="62">
        <f t="shared" si="3159"/>
        <v>753759.47</v>
      </c>
      <c r="EU280" s="62">
        <f t="shared" si="3159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94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 t="shared" si="3026"/>
        <v>1</v>
      </c>
      <c r="FS280" s="120" t="b">
        <f t="shared" si="3027"/>
        <v>1</v>
      </c>
      <c r="FT280" s="120" t="b">
        <f t="shared" si="3028"/>
        <v>1</v>
      </c>
      <c r="FU280" s="120" t="b">
        <f t="shared" si="3029"/>
        <v>1</v>
      </c>
      <c r="FV280" s="120" t="b">
        <f t="shared" si="3030"/>
        <v>1</v>
      </c>
      <c r="FW280" s="104" t="b">
        <f t="shared" si="3036"/>
        <v>0</v>
      </c>
      <c r="FX280" s="120" t="b">
        <f t="shared" si="3153"/>
        <v>1</v>
      </c>
      <c r="FY280" s="104" t="s">
        <v>368</v>
      </c>
      <c r="FZ280" s="104" t="b">
        <f t="shared" si="3154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55"/>
        <v>1</v>
      </c>
      <c r="GI280" s="8" t="b">
        <f t="shared" si="3156"/>
        <v>0</v>
      </c>
      <c r="GJ280" s="31" t="s">
        <v>203</v>
      </c>
    </row>
    <row r="281" spans="1:192" ht="45" hidden="1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63"/>
        <v>нет минмакс</v>
      </c>
      <c r="Q281" s="95">
        <v>6499</v>
      </c>
      <c r="R281" s="95">
        <f t="shared" ref="R281:R286" si="3195">Q281*FH281</f>
        <v>36004.46</v>
      </c>
      <c r="S281" s="114">
        <v>6499</v>
      </c>
      <c r="T281" s="114">
        <v>36004.46</v>
      </c>
      <c r="U281" s="131">
        <f t="shared" si="3164"/>
        <v>4</v>
      </c>
      <c r="V281" s="115">
        <f t="shared" ref="V281:V286" si="3196">SUM(Z281:AD281)</f>
        <v>6499</v>
      </c>
      <c r="W281" s="115">
        <f t="shared" si="3165"/>
        <v>36004.46</v>
      </c>
      <c r="X281" s="115">
        <f t="shared" si="3166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67"/>
        <v>0</v>
      </c>
      <c r="AF281" s="95">
        <f t="shared" si="3168"/>
        <v>0</v>
      </c>
      <c r="AG281" s="114">
        <v>0</v>
      </c>
      <c r="AH281" s="95">
        <f t="shared" ref="AH281:AH286" si="3197">V281-AG281</f>
        <v>6499</v>
      </c>
      <c r="AI281" s="114">
        <f t="shared" si="3169"/>
        <v>36004.46</v>
      </c>
      <c r="AJ281" s="114">
        <f t="shared" ref="AJ281:AJ286" si="3198">CU281</f>
        <v>0</v>
      </c>
      <c r="AK281" s="114">
        <f t="shared" si="3157"/>
        <v>0</v>
      </c>
      <c r="AL281" s="114">
        <f t="shared" ref="AL281:AL286" si="3199">SUM(CP281:CU281)</f>
        <v>0</v>
      </c>
      <c r="AM281" s="114">
        <f t="shared" ref="AM281:AM286" si="3200">SUM(BK281:BP281)</f>
        <v>0</v>
      </c>
      <c r="AN281" s="133" t="str">
        <f t="shared" si="3170"/>
        <v>нет оборота</v>
      </c>
      <c r="AO281" s="133" t="str">
        <f t="shared" si="3171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72"/>
        <v>Нет планов</v>
      </c>
      <c r="AW281" s="126">
        <f t="shared" si="3173"/>
        <v>36004.46</v>
      </c>
      <c r="AX281" s="138"/>
      <c r="AY281" s="115">
        <f t="shared" si="3174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75"/>
        <v>36004.46</v>
      </c>
      <c r="BG281" s="32">
        <v>0</v>
      </c>
      <c r="BH281" s="32">
        <f t="shared" si="3176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77"/>
        <v>0</v>
      </c>
      <c r="BR281" s="95">
        <f t="shared" si="3178"/>
        <v>6499</v>
      </c>
      <c r="BS281" s="133">
        <f t="shared" si="3161"/>
        <v>6499</v>
      </c>
      <c r="BT281" s="133">
        <f t="shared" si="3161"/>
        <v>6499</v>
      </c>
      <c r="BU281" s="133">
        <f t="shared" si="3161"/>
        <v>6499</v>
      </c>
      <c r="BV281" s="133">
        <f t="shared" si="3161"/>
        <v>6499</v>
      </c>
      <c r="BW281" s="133">
        <f t="shared" si="3161"/>
        <v>6499</v>
      </c>
      <c r="BX281" s="133">
        <f t="shared" si="3179"/>
        <v>6499</v>
      </c>
      <c r="BY281" s="133">
        <f t="shared" si="3179"/>
        <v>6499</v>
      </c>
      <c r="BZ281" s="133">
        <f t="shared" si="3179"/>
        <v>6499</v>
      </c>
      <c r="CA281" s="133">
        <f t="shared" si="3179"/>
        <v>6499</v>
      </c>
      <c r="CB281" s="133">
        <f t="shared" si="3179"/>
        <v>6499</v>
      </c>
      <c r="CC281" s="133">
        <f t="shared" si="3179"/>
        <v>6499</v>
      </c>
      <c r="CD281" s="133">
        <f t="shared" si="3179"/>
        <v>6499</v>
      </c>
      <c r="CE281" s="133">
        <f t="shared" si="3179"/>
        <v>6499</v>
      </c>
      <c r="CF281" s="133">
        <f t="shared" si="3179"/>
        <v>6499</v>
      </c>
      <c r="CG281" s="133">
        <f t="shared" si="3179"/>
        <v>6499</v>
      </c>
      <c r="CH281" s="133">
        <f t="shared" si="3179"/>
        <v>6499</v>
      </c>
      <c r="CI281" s="133">
        <f t="shared" si="3179"/>
        <v>6499</v>
      </c>
      <c r="CJ281" s="133">
        <f t="shared" si="3179"/>
        <v>6499</v>
      </c>
      <c r="CK281" s="133">
        <f t="shared" si="3179"/>
        <v>6499</v>
      </c>
      <c r="CL281" s="133">
        <f t="shared" si="3179"/>
        <v>6499</v>
      </c>
      <c r="CM281" s="133">
        <f t="shared" si="3179"/>
        <v>6499</v>
      </c>
      <c r="CN281" s="133">
        <f t="shared" si="3179"/>
        <v>6499</v>
      </c>
      <c r="CO281" s="133">
        <f t="shared" si="3179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80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81"/>
        <v>0</v>
      </c>
      <c r="DB281" s="4">
        <f t="shared" si="3182"/>
        <v>0</v>
      </c>
      <c r="DC281" s="4">
        <f t="shared" si="3183"/>
        <v>0</v>
      </c>
      <c r="DD281" s="136">
        <f t="shared" si="3184"/>
        <v>0</v>
      </c>
      <c r="DE281" s="31">
        <v>0</v>
      </c>
      <c r="DG281" s="31">
        <v>0</v>
      </c>
      <c r="DH281" s="48">
        <f t="shared" ref="DH281:DH286" si="3201">IFERROR(ROUNDUP(DG281/$EX281,0)*$EY281,0)</f>
        <v>0</v>
      </c>
      <c r="DI281" s="62">
        <v>6499</v>
      </c>
      <c r="DJ281" s="62">
        <v>36000.49</v>
      </c>
      <c r="DK281" s="48">
        <f t="shared" si="3185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86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87"/>
        <v>4</v>
      </c>
      <c r="DV281" s="62">
        <v>0</v>
      </c>
      <c r="DW281" s="62">
        <v>0</v>
      </c>
      <c r="DX281" s="62">
        <f t="shared" ref="DX281:DX286" si="3202">$DF281*BK281/30</f>
        <v>0</v>
      </c>
      <c r="DY281" s="62">
        <f t="shared" si="3188"/>
        <v>0</v>
      </c>
      <c r="DZ281" s="48">
        <f t="shared" ref="DZ281:DZ286" si="3203">IFERROR(ROUNDUP(DX281/$EX281,0)*$EY281,0)</f>
        <v>0</v>
      </c>
      <c r="EA281" s="62">
        <f t="shared" ref="EA281:EA286" si="3204">$DF281*BL281/30</f>
        <v>0</v>
      </c>
      <c r="EB281" s="62">
        <f t="shared" si="3189"/>
        <v>0</v>
      </c>
      <c r="EC281" s="48">
        <f t="shared" ref="EC281:EC286" si="3205">IFERROR(ROUNDUP(EA281/$EX281,0)*$EY281,0)</f>
        <v>0</v>
      </c>
      <c r="ED281" s="62">
        <f t="shared" ref="ED281:ED286" si="3206">$DF281*BM281/30</f>
        <v>0</v>
      </c>
      <c r="EE281" s="62">
        <f t="shared" si="3190"/>
        <v>0</v>
      </c>
      <c r="EF281" s="48">
        <f t="shared" ref="EF281:EF286" si="3207">IFERROR(ROUNDUP(ED281/$EX281,0)*$EY281,0)</f>
        <v>0</v>
      </c>
      <c r="EG281" s="62">
        <f t="shared" ref="EG281:EG286" si="3208">$DF281*BN281/30</f>
        <v>0</v>
      </c>
      <c r="EH281" s="62">
        <f t="shared" si="3191"/>
        <v>0</v>
      </c>
      <c r="EI281" s="48">
        <f t="shared" ref="EI281:EI286" si="3209">IFERROR(ROUNDUP(EG281/$EX281,0)*$EY281,0)</f>
        <v>0</v>
      </c>
      <c r="EJ281" s="62">
        <f t="shared" ref="EJ281:EJ286" si="3210">$DF281*BO281/30</f>
        <v>0</v>
      </c>
      <c r="EK281" s="62">
        <f t="shared" si="3192"/>
        <v>0</v>
      </c>
      <c r="EL281" s="48">
        <f t="shared" ref="EL281:EL286" si="3211">IFERROR(ROUNDUP(EJ281/$EX281,0)*$EY281,0)</f>
        <v>0</v>
      </c>
      <c r="EM281" s="62">
        <f t="shared" ref="EM281:EM286" si="3212">$DF281*BP281/30</f>
        <v>0</v>
      </c>
      <c r="EN281" s="62">
        <f t="shared" si="3193"/>
        <v>0</v>
      </c>
      <c r="EO281" s="48">
        <f t="shared" ref="EO281:EO286" si="3213">IFERROR(ROUNDUP(EM281/$EX281,0)*$EY281,0)</f>
        <v>0</v>
      </c>
      <c r="EP281" s="62">
        <f t="shared" ref="EP281:ER286" si="3214">BK281*$FH281</f>
        <v>0</v>
      </c>
      <c r="EQ281" s="62">
        <f t="shared" si="3214"/>
        <v>0</v>
      </c>
      <c r="ER281" s="62">
        <f t="shared" si="3214"/>
        <v>0</v>
      </c>
      <c r="ES281" s="62">
        <f t="shared" ref="ES281:EU286" si="3215">BN281*$FH281</f>
        <v>0</v>
      </c>
      <c r="ET281" s="62">
        <f t="shared" si="3215"/>
        <v>0</v>
      </c>
      <c r="EU281" s="62">
        <f t="shared" si="3215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94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 t="shared" si="3026"/>
        <v>1</v>
      </c>
      <c r="FS281" s="120" t="b">
        <f t="shared" si="3027"/>
        <v>1</v>
      </c>
      <c r="FT281" s="120" t="b">
        <f t="shared" si="3028"/>
        <v>1</v>
      </c>
      <c r="FU281" s="120" t="b">
        <f t="shared" si="3029"/>
        <v>1</v>
      </c>
      <c r="FV281" s="120" t="b">
        <f t="shared" si="3030"/>
        <v>1</v>
      </c>
      <c r="FW281" s="104" t="b">
        <f t="shared" si="3036"/>
        <v>0</v>
      </c>
      <c r="FX281" s="120" t="b">
        <f t="shared" ref="FX281:FX286" si="3216">EXACT(FQ281,BI281)</f>
        <v>1</v>
      </c>
      <c r="FY281" s="104" t="s">
        <v>368</v>
      </c>
      <c r="FZ281" s="104" t="b">
        <f t="shared" ref="FZ281:FZ286" si="3217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218">EXACT(GD281,C281)</f>
        <v>1</v>
      </c>
      <c r="GI281" s="8" t="b">
        <f t="shared" ref="GI281:GI286" si="3219">EXACT(GG281,G281)</f>
        <v>0</v>
      </c>
      <c r="GJ281" s="31" t="s">
        <v>203</v>
      </c>
    </row>
    <row r="282" spans="1:192" hidden="1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63"/>
        <v>нет минмакс</v>
      </c>
      <c r="Q282" s="95">
        <v>13237</v>
      </c>
      <c r="R282" s="95">
        <f t="shared" si="3195"/>
        <v>24885.559999999998</v>
      </c>
      <c r="S282" s="114">
        <v>18232</v>
      </c>
      <c r="T282" s="114">
        <v>35917.040000000001</v>
      </c>
      <c r="U282" s="131">
        <f t="shared" si="3164"/>
        <v>1</v>
      </c>
      <c r="V282" s="115">
        <f t="shared" si="3196"/>
        <v>13645</v>
      </c>
      <c r="W282" s="115">
        <f t="shared" si="3165"/>
        <v>25652.6</v>
      </c>
      <c r="X282" s="115">
        <f t="shared" si="3166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67"/>
        <v>0</v>
      </c>
      <c r="AF282" s="95">
        <f t="shared" si="3168"/>
        <v>0</v>
      </c>
      <c r="AG282" s="114">
        <v>0</v>
      </c>
      <c r="AH282" s="95">
        <f t="shared" si="3197"/>
        <v>13645</v>
      </c>
      <c r="AI282" s="114">
        <f t="shared" si="3169"/>
        <v>25652.6</v>
      </c>
      <c r="AJ282" s="114">
        <f t="shared" si="3198"/>
        <v>44415</v>
      </c>
      <c r="AK282" s="114">
        <f t="shared" si="3157"/>
        <v>135431</v>
      </c>
      <c r="AL282" s="114">
        <f t="shared" si="3199"/>
        <v>203790</v>
      </c>
      <c r="AM282" s="114">
        <f t="shared" si="3200"/>
        <v>342945</v>
      </c>
      <c r="AN282" s="133">
        <f t="shared" si="3170"/>
        <v>9.5693478546122552</v>
      </c>
      <c r="AO282" s="133" t="str">
        <f t="shared" si="3171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72"/>
        <v>0-01</v>
      </c>
      <c r="AW282" s="126">
        <f t="shared" si="3173"/>
        <v>0</v>
      </c>
      <c r="AX282" s="138"/>
      <c r="AY282" s="115">
        <f t="shared" si="3174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75"/>
        <v>0</v>
      </c>
      <c r="BG282" s="32">
        <v>0</v>
      </c>
      <c r="BH282" s="32">
        <f t="shared" si="3176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77"/>
        <v>57157.5</v>
      </c>
      <c r="BR282" s="95">
        <f t="shared" si="3178"/>
        <v>-30606</v>
      </c>
      <c r="BS282" s="133">
        <f t="shared" si="3161"/>
        <v>-82357</v>
      </c>
      <c r="BT282" s="133">
        <f t="shared" si="3161"/>
        <v>-143750</v>
      </c>
      <c r="BU282" s="133">
        <f t="shared" si="3161"/>
        <v>-204662</v>
      </c>
      <c r="BV282" s="133">
        <f t="shared" si="3161"/>
        <v>-272013</v>
      </c>
      <c r="BW282" s="133">
        <f t="shared" si="3161"/>
        <v>-329300</v>
      </c>
      <c r="BX282" s="133">
        <f t="shared" ref="BX282:CO283" si="3220">BW282-$BQ282</f>
        <v>-386457.5</v>
      </c>
      <c r="BY282" s="133">
        <f t="shared" si="3220"/>
        <v>-443615</v>
      </c>
      <c r="BZ282" s="133">
        <f t="shared" si="3220"/>
        <v>-500772.5</v>
      </c>
      <c r="CA282" s="133">
        <f t="shared" si="3220"/>
        <v>-557930</v>
      </c>
      <c r="CB282" s="133">
        <f t="shared" si="3220"/>
        <v>-615087.5</v>
      </c>
      <c r="CC282" s="133">
        <f t="shared" si="3220"/>
        <v>-672245</v>
      </c>
      <c r="CD282" s="133">
        <f t="shared" si="3220"/>
        <v>-729402.5</v>
      </c>
      <c r="CE282" s="133">
        <f t="shared" si="3220"/>
        <v>-786560</v>
      </c>
      <c r="CF282" s="133">
        <f t="shared" si="3220"/>
        <v>-843717.5</v>
      </c>
      <c r="CG282" s="133">
        <f t="shared" si="3220"/>
        <v>-900875</v>
      </c>
      <c r="CH282" s="133">
        <f t="shared" si="3220"/>
        <v>-958032.5</v>
      </c>
      <c r="CI282" s="133">
        <f t="shared" si="3220"/>
        <v>-1015190</v>
      </c>
      <c r="CJ282" s="133">
        <f t="shared" si="3220"/>
        <v>-1072347.5</v>
      </c>
      <c r="CK282" s="133">
        <f t="shared" si="3220"/>
        <v>-1129505</v>
      </c>
      <c r="CL282" s="133">
        <f t="shared" si="3220"/>
        <v>-1186662.5</v>
      </c>
      <c r="CM282" s="133">
        <f t="shared" si="3220"/>
        <v>-1243820</v>
      </c>
      <c r="CN282" s="133">
        <f t="shared" si="3220"/>
        <v>-1300977.5</v>
      </c>
      <c r="CO282" s="133">
        <f t="shared" si="3220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80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81"/>
        <v>0</v>
      </c>
      <c r="DB282" s="4">
        <f t="shared" si="3182"/>
        <v>0</v>
      </c>
      <c r="DC282" s="4">
        <f t="shared" si="3183"/>
        <v>0</v>
      </c>
      <c r="DD282" s="136">
        <f t="shared" si="3184"/>
        <v>0</v>
      </c>
      <c r="DE282" s="31">
        <v>0</v>
      </c>
      <c r="DG282" s="31">
        <v>0</v>
      </c>
      <c r="DH282" s="48">
        <f t="shared" si="3201"/>
        <v>0</v>
      </c>
      <c r="DI282" s="62">
        <v>12287.58</v>
      </c>
      <c r="DJ282" s="62">
        <v>23568.768</v>
      </c>
      <c r="DK282" s="48">
        <f t="shared" si="3185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86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87"/>
        <v>3</v>
      </c>
      <c r="DV282" s="62">
        <v>41683</v>
      </c>
      <c r="DW282" s="62">
        <v>81958.075874466551</v>
      </c>
      <c r="DX282" s="62">
        <f t="shared" si="3202"/>
        <v>0</v>
      </c>
      <c r="DY282" s="62">
        <f t="shared" si="3188"/>
        <v>0</v>
      </c>
      <c r="DZ282" s="48">
        <f t="shared" si="3203"/>
        <v>0</v>
      </c>
      <c r="EA282" s="62">
        <f t="shared" si="3204"/>
        <v>0</v>
      </c>
      <c r="EB282" s="62">
        <f t="shared" si="3189"/>
        <v>0</v>
      </c>
      <c r="EC282" s="48">
        <f t="shared" si="3205"/>
        <v>0</v>
      </c>
      <c r="ED282" s="62">
        <f t="shared" si="3206"/>
        <v>0</v>
      </c>
      <c r="EE282" s="62">
        <f t="shared" si="3190"/>
        <v>0</v>
      </c>
      <c r="EF282" s="48">
        <f t="shared" si="3207"/>
        <v>0</v>
      </c>
      <c r="EG282" s="62">
        <f t="shared" si="3208"/>
        <v>0</v>
      </c>
      <c r="EH282" s="62">
        <f t="shared" si="3191"/>
        <v>0</v>
      </c>
      <c r="EI282" s="48">
        <f t="shared" si="3209"/>
        <v>0</v>
      </c>
      <c r="EJ282" s="62">
        <f t="shared" si="3210"/>
        <v>0</v>
      </c>
      <c r="EK282" s="62">
        <f t="shared" si="3192"/>
        <v>0</v>
      </c>
      <c r="EL282" s="48">
        <f t="shared" si="3211"/>
        <v>0</v>
      </c>
      <c r="EM282" s="62">
        <f t="shared" si="3212"/>
        <v>0</v>
      </c>
      <c r="EN282" s="62">
        <f t="shared" si="3193"/>
        <v>0</v>
      </c>
      <c r="EO282" s="48">
        <f t="shared" si="3213"/>
        <v>0</v>
      </c>
      <c r="EP282" s="62">
        <f t="shared" si="3214"/>
        <v>83191.87999999999</v>
      </c>
      <c r="EQ282" s="62">
        <f t="shared" si="3214"/>
        <v>97291.87999999999</v>
      </c>
      <c r="ER282" s="62">
        <f t="shared" si="3214"/>
        <v>115418.84</v>
      </c>
      <c r="ES282" s="62">
        <f t="shared" si="3215"/>
        <v>114514.56</v>
      </c>
      <c r="ET282" s="62">
        <f t="shared" si="3215"/>
        <v>126619.87999999999</v>
      </c>
      <c r="EU282" s="62">
        <f t="shared" si="3215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94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 t="shared" si="3026"/>
        <v>1</v>
      </c>
      <c r="FS282" s="120" t="b">
        <f t="shared" si="3027"/>
        <v>1</v>
      </c>
      <c r="FT282" s="120" t="b">
        <f t="shared" si="3028"/>
        <v>1</v>
      </c>
      <c r="FU282" s="120" t="b">
        <f t="shared" si="3029"/>
        <v>1</v>
      </c>
      <c r="FV282" s="120" t="b">
        <f t="shared" si="3030"/>
        <v>1</v>
      </c>
      <c r="FW282" s="104" t="b">
        <f t="shared" si="3036"/>
        <v>0</v>
      </c>
      <c r="FX282" s="120" t="b">
        <f t="shared" si="3216"/>
        <v>1</v>
      </c>
      <c r="FY282" s="104" t="s">
        <v>368</v>
      </c>
      <c r="FZ282" s="104" t="b">
        <f t="shared" si="3217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218"/>
        <v>1</v>
      </c>
      <c r="GI282" s="8" t="b">
        <f t="shared" si="3219"/>
        <v>0</v>
      </c>
      <c r="GJ282" s="31" t="s">
        <v>203</v>
      </c>
    </row>
    <row r="283" spans="1:192" hidden="1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63"/>
        <v>нет минмакс</v>
      </c>
      <c r="Q283" s="95">
        <v>21033</v>
      </c>
      <c r="R283" s="95">
        <f t="shared" si="3195"/>
        <v>64150.649999999994</v>
      </c>
      <c r="S283" s="114">
        <v>11437</v>
      </c>
      <c r="T283" s="114">
        <v>36369.660000000003</v>
      </c>
      <c r="U283" s="131">
        <f t="shared" si="3164"/>
        <v>1</v>
      </c>
      <c r="V283" s="115">
        <f t="shared" si="3196"/>
        <v>6624</v>
      </c>
      <c r="W283" s="115">
        <f t="shared" si="3165"/>
        <v>20203.199999999997</v>
      </c>
      <c r="X283" s="115">
        <f t="shared" si="3166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67"/>
        <v>0</v>
      </c>
      <c r="AF283" s="95">
        <f t="shared" si="3168"/>
        <v>0</v>
      </c>
      <c r="AG283" s="114">
        <v>0</v>
      </c>
      <c r="AH283" s="95">
        <f t="shared" si="3197"/>
        <v>6624</v>
      </c>
      <c r="AI283" s="114">
        <f t="shared" si="3169"/>
        <v>20203.199999999997</v>
      </c>
      <c r="AJ283" s="114">
        <f t="shared" si="3198"/>
        <v>18139</v>
      </c>
      <c r="AK283" s="114">
        <f t="shared" ref="AK283:AK286" si="3221">SUM(CS283:CU283)</f>
        <v>30714</v>
      </c>
      <c r="AL283" s="114">
        <f t="shared" si="3199"/>
        <v>41464</v>
      </c>
      <c r="AM283" s="114">
        <f t="shared" si="3200"/>
        <v>117474</v>
      </c>
      <c r="AN283" s="133">
        <f t="shared" si="3170"/>
        <v>17.524388375300067</v>
      </c>
      <c r="AO283" s="133" t="str">
        <f t="shared" si="3171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72"/>
        <v>0-03</v>
      </c>
      <c r="AW283" s="126">
        <f t="shared" si="3173"/>
        <v>0</v>
      </c>
      <c r="AX283" s="138"/>
      <c r="AY283" s="115">
        <f t="shared" si="3174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75"/>
        <v>0</v>
      </c>
      <c r="BG283" s="32">
        <v>0</v>
      </c>
      <c r="BH283" s="32">
        <f t="shared" si="3176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77"/>
        <v>19579</v>
      </c>
      <c r="BR283" s="95">
        <f t="shared" si="3178"/>
        <v>15357</v>
      </c>
      <c r="BS283" s="133">
        <f t="shared" si="3161"/>
        <v>8361</v>
      </c>
      <c r="BT283" s="133">
        <f t="shared" si="3161"/>
        <v>-7363</v>
      </c>
      <c r="BU283" s="133">
        <f t="shared" si="3161"/>
        <v>-39489</v>
      </c>
      <c r="BV283" s="133">
        <f t="shared" si="3161"/>
        <v>-55050</v>
      </c>
      <c r="BW283" s="133">
        <f t="shared" si="3161"/>
        <v>-96441</v>
      </c>
      <c r="BX283" s="133">
        <f t="shared" si="3220"/>
        <v>-116020</v>
      </c>
      <c r="BY283" s="133">
        <f t="shared" si="3220"/>
        <v>-135599</v>
      </c>
      <c r="BZ283" s="133">
        <f t="shared" si="3220"/>
        <v>-155178</v>
      </c>
      <c r="CA283" s="133">
        <f t="shared" si="3220"/>
        <v>-174757</v>
      </c>
      <c r="CB283" s="133">
        <f t="shared" si="3220"/>
        <v>-194336</v>
      </c>
      <c r="CC283" s="133">
        <f t="shared" si="3220"/>
        <v>-213915</v>
      </c>
      <c r="CD283" s="133">
        <f t="shared" si="3220"/>
        <v>-233494</v>
      </c>
      <c r="CE283" s="133">
        <f t="shared" si="3220"/>
        <v>-253073</v>
      </c>
      <c r="CF283" s="133">
        <f t="shared" si="3220"/>
        <v>-272652</v>
      </c>
      <c r="CG283" s="133">
        <f t="shared" si="3220"/>
        <v>-292231</v>
      </c>
      <c r="CH283" s="133">
        <f t="shared" si="3220"/>
        <v>-311810</v>
      </c>
      <c r="CI283" s="133">
        <f t="shared" si="3220"/>
        <v>-331389</v>
      </c>
      <c r="CJ283" s="133">
        <f t="shared" si="3220"/>
        <v>-350968</v>
      </c>
      <c r="CK283" s="133">
        <f t="shared" si="3220"/>
        <v>-370547</v>
      </c>
      <c r="CL283" s="133">
        <f t="shared" si="3220"/>
        <v>-390126</v>
      </c>
      <c r="CM283" s="133">
        <f t="shared" si="3220"/>
        <v>-409705</v>
      </c>
      <c r="CN283" s="133">
        <f t="shared" si="3220"/>
        <v>-429284</v>
      </c>
      <c r="CO283" s="133">
        <f t="shared" si="3220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80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81"/>
        <v>0</v>
      </c>
      <c r="DB283" s="4">
        <f t="shared" si="3182"/>
        <v>0</v>
      </c>
      <c r="DC283" s="4">
        <f t="shared" si="3183"/>
        <v>0</v>
      </c>
      <c r="DD283" s="136">
        <f t="shared" si="3184"/>
        <v>0</v>
      </c>
      <c r="DE283" s="31">
        <v>0</v>
      </c>
      <c r="DG283" s="31">
        <v>0</v>
      </c>
      <c r="DH283" s="48">
        <f t="shared" si="3201"/>
        <v>0</v>
      </c>
      <c r="DI283" s="62">
        <v>4770.5479999999998</v>
      </c>
      <c r="DJ283" s="62">
        <v>14465.159</v>
      </c>
      <c r="DK283" s="48">
        <f t="shared" si="3185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86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87"/>
        <v>1</v>
      </c>
      <c r="DV283" s="62">
        <v>8380</v>
      </c>
      <c r="DW283" s="62">
        <v>25350.814175152751</v>
      </c>
      <c r="DX283" s="62">
        <f t="shared" si="3202"/>
        <v>0</v>
      </c>
      <c r="DY283" s="62">
        <f t="shared" si="3188"/>
        <v>0</v>
      </c>
      <c r="DZ283" s="48">
        <f t="shared" si="3203"/>
        <v>0</v>
      </c>
      <c r="EA283" s="62">
        <f t="shared" si="3204"/>
        <v>0</v>
      </c>
      <c r="EB283" s="62">
        <f t="shared" si="3189"/>
        <v>0</v>
      </c>
      <c r="EC283" s="48">
        <f t="shared" si="3205"/>
        <v>0</v>
      </c>
      <c r="ED283" s="62">
        <f t="shared" si="3206"/>
        <v>0</v>
      </c>
      <c r="EE283" s="62">
        <f t="shared" si="3190"/>
        <v>0</v>
      </c>
      <c r="EF283" s="48">
        <f t="shared" si="3207"/>
        <v>0</v>
      </c>
      <c r="EG283" s="62">
        <f t="shared" si="3208"/>
        <v>0</v>
      </c>
      <c r="EH283" s="62">
        <f t="shared" si="3191"/>
        <v>0</v>
      </c>
      <c r="EI283" s="48">
        <f t="shared" si="3209"/>
        <v>0</v>
      </c>
      <c r="EJ283" s="62">
        <f t="shared" si="3210"/>
        <v>0</v>
      </c>
      <c r="EK283" s="62">
        <f t="shared" si="3192"/>
        <v>0</v>
      </c>
      <c r="EL283" s="48">
        <f t="shared" si="3211"/>
        <v>0</v>
      </c>
      <c r="EM283" s="62">
        <f t="shared" si="3212"/>
        <v>0</v>
      </c>
      <c r="EN283" s="62">
        <f t="shared" si="3193"/>
        <v>0</v>
      </c>
      <c r="EO283" s="48">
        <f t="shared" si="3213"/>
        <v>0</v>
      </c>
      <c r="EP283" s="62">
        <f t="shared" si="3214"/>
        <v>17311.8</v>
      </c>
      <c r="EQ283" s="62">
        <f t="shared" si="3214"/>
        <v>21337.8</v>
      </c>
      <c r="ER283" s="62">
        <f t="shared" si="3214"/>
        <v>47958.2</v>
      </c>
      <c r="ES283" s="62">
        <f t="shared" si="3215"/>
        <v>97984.299999999988</v>
      </c>
      <c r="ET283" s="62">
        <f t="shared" si="3215"/>
        <v>47461.049999999996</v>
      </c>
      <c r="EU283" s="62">
        <f t="shared" si="3215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94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 t="shared" si="3026"/>
        <v>1</v>
      </c>
      <c r="FS283" s="120" t="b">
        <f t="shared" si="3027"/>
        <v>1</v>
      </c>
      <c r="FT283" s="120" t="b">
        <f t="shared" si="3028"/>
        <v>1</v>
      </c>
      <c r="FU283" s="120" t="b">
        <f t="shared" si="3029"/>
        <v>1</v>
      </c>
      <c r="FV283" s="120" t="b">
        <f t="shared" si="3030"/>
        <v>1</v>
      </c>
      <c r="FW283" s="104" t="b">
        <f t="shared" si="3036"/>
        <v>0</v>
      </c>
      <c r="FX283" s="120" t="b">
        <f t="shared" si="3216"/>
        <v>1</v>
      </c>
      <c r="FY283" s="104" t="s">
        <v>368</v>
      </c>
      <c r="FZ283" s="104" t="b">
        <f t="shared" si="3217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218"/>
        <v>1</v>
      </c>
      <c r="GI283" s="8" t="b">
        <f t="shared" si="3219"/>
        <v>0</v>
      </c>
      <c r="GJ283" s="31" t="s">
        <v>203</v>
      </c>
    </row>
    <row r="284" spans="1:192" hidden="1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63"/>
        <v>нет минмакс</v>
      </c>
      <c r="Q284" s="95">
        <v>10751</v>
      </c>
      <c r="R284" s="95">
        <f t="shared" si="3195"/>
        <v>381768.00999999995</v>
      </c>
      <c r="S284" s="114">
        <v>900</v>
      </c>
      <c r="T284" s="114">
        <v>31239</v>
      </c>
      <c r="U284" s="131">
        <f t="shared" si="3164"/>
        <v>5</v>
      </c>
      <c r="V284" s="115">
        <f t="shared" si="3196"/>
        <v>10708</v>
      </c>
      <c r="W284" s="115">
        <f t="shared" si="3165"/>
        <v>380241.07999999996</v>
      </c>
      <c r="X284" s="115">
        <f t="shared" si="3166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67"/>
        <v>0</v>
      </c>
      <c r="AF284" s="95">
        <f t="shared" si="3168"/>
        <v>0</v>
      </c>
      <c r="AG284" s="114">
        <v>0</v>
      </c>
      <c r="AH284" s="95">
        <f t="shared" si="3197"/>
        <v>10708</v>
      </c>
      <c r="AI284" s="114">
        <f t="shared" si="3169"/>
        <v>380241.07999999996</v>
      </c>
      <c r="AJ284" s="114">
        <f t="shared" si="3198"/>
        <v>2045</v>
      </c>
      <c r="AK284" s="114">
        <f t="shared" si="3221"/>
        <v>7545</v>
      </c>
      <c r="AL284" s="114">
        <f t="shared" si="3199"/>
        <v>19664</v>
      </c>
      <c r="AM284" s="114">
        <f t="shared" si="3200"/>
        <v>18257</v>
      </c>
      <c r="AN284" s="133">
        <f t="shared" si="3170"/>
        <v>8.8733088678315166</v>
      </c>
      <c r="AO284" s="133" t="str">
        <f t="shared" si="3171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72"/>
        <v>0-04</v>
      </c>
      <c r="AW284" s="126">
        <f t="shared" si="3173"/>
        <v>0</v>
      </c>
      <c r="AX284" s="138"/>
      <c r="AY284" s="115">
        <f t="shared" si="3174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75"/>
        <v>0</v>
      </c>
      <c r="BG284" s="32">
        <v>0</v>
      </c>
      <c r="BH284" s="32">
        <f t="shared" si="3176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77"/>
        <v>3042.8333333333335</v>
      </c>
      <c r="BR284" s="95">
        <f t="shared" si="3178"/>
        <v>8095</v>
      </c>
      <c r="BS284" s="133">
        <f t="shared" ref="BS284:BW287" si="3222">BR284-BL284</f>
        <v>5088</v>
      </c>
      <c r="BT284" s="133">
        <f t="shared" si="3222"/>
        <v>3918</v>
      </c>
      <c r="BU284" s="133">
        <f t="shared" si="3222"/>
        <v>-621</v>
      </c>
      <c r="BV284" s="133">
        <f t="shared" si="3222"/>
        <v>-3405</v>
      </c>
      <c r="BW284" s="133">
        <f t="shared" si="3222"/>
        <v>-7506</v>
      </c>
      <c r="BX284" s="133">
        <f t="shared" ref="BX284:CO286" si="3223">BW284-$BQ284</f>
        <v>-10548.833333333334</v>
      </c>
      <c r="BY284" s="133">
        <f t="shared" si="3223"/>
        <v>-13591.666666666668</v>
      </c>
      <c r="BZ284" s="133">
        <f t="shared" si="3223"/>
        <v>-16634.5</v>
      </c>
      <c r="CA284" s="133">
        <f t="shared" si="3223"/>
        <v>-19677.333333333332</v>
      </c>
      <c r="CB284" s="133">
        <f t="shared" si="3223"/>
        <v>-22720.166666666664</v>
      </c>
      <c r="CC284" s="133">
        <f t="shared" si="3223"/>
        <v>-25762.999999999996</v>
      </c>
      <c r="CD284" s="133">
        <f t="shared" si="3223"/>
        <v>-28805.833333333328</v>
      </c>
      <c r="CE284" s="133">
        <f t="shared" si="3223"/>
        <v>-31848.666666666661</v>
      </c>
      <c r="CF284" s="133">
        <f t="shared" si="3223"/>
        <v>-34891.499999999993</v>
      </c>
      <c r="CG284" s="133">
        <f t="shared" si="3223"/>
        <v>-37934.333333333328</v>
      </c>
      <c r="CH284" s="133">
        <f t="shared" si="3223"/>
        <v>-40977.166666666664</v>
      </c>
      <c r="CI284" s="133">
        <f t="shared" si="3223"/>
        <v>-44020</v>
      </c>
      <c r="CJ284" s="133">
        <f t="shared" si="3223"/>
        <v>-47062.833333333336</v>
      </c>
      <c r="CK284" s="133">
        <f t="shared" si="3223"/>
        <v>-50105.666666666672</v>
      </c>
      <c r="CL284" s="133">
        <f t="shared" si="3223"/>
        <v>-53148.500000000007</v>
      </c>
      <c r="CM284" s="133">
        <f t="shared" si="3223"/>
        <v>-56191.333333333343</v>
      </c>
      <c r="CN284" s="133">
        <f t="shared" si="3223"/>
        <v>-59234.166666666679</v>
      </c>
      <c r="CO284" s="133">
        <f t="shared" si="3223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80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224">IFERROR(CZ284/CY284,0)</f>
        <v>0</v>
      </c>
      <c r="DB284" s="4">
        <f t="shared" ref="DB284:DB290" si="3225">CY284*FH284</f>
        <v>0</v>
      </c>
      <c r="DC284" s="4">
        <f t="shared" ref="DC284:DC290" si="3226">CZ284*FH284</f>
        <v>0</v>
      </c>
      <c r="DD284" s="136">
        <f t="shared" ref="DD284:DD290" si="3227">IFERROR(DC284/DB284,0)</f>
        <v>0</v>
      </c>
      <c r="DE284" s="31">
        <v>0</v>
      </c>
      <c r="DG284" s="31">
        <v>0</v>
      </c>
      <c r="DH284" s="48">
        <f t="shared" si="3201"/>
        <v>0</v>
      </c>
      <c r="DI284" s="62">
        <v>10452.839</v>
      </c>
      <c r="DJ284" s="62">
        <v>362873.72600000002</v>
      </c>
      <c r="DK284" s="48">
        <f t="shared" si="3185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86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87"/>
        <v>19</v>
      </c>
      <c r="DV284" s="62">
        <v>2730</v>
      </c>
      <c r="DW284" s="62">
        <v>94770.599172033122</v>
      </c>
      <c r="DX284" s="62">
        <f t="shared" si="3202"/>
        <v>0</v>
      </c>
      <c r="DY284" s="62">
        <f t="shared" si="3188"/>
        <v>0</v>
      </c>
      <c r="DZ284" s="48">
        <f t="shared" si="3203"/>
        <v>0</v>
      </c>
      <c r="EA284" s="62">
        <f t="shared" si="3204"/>
        <v>0</v>
      </c>
      <c r="EB284" s="62">
        <f t="shared" si="3189"/>
        <v>0</v>
      </c>
      <c r="EC284" s="48">
        <f t="shared" si="3205"/>
        <v>0</v>
      </c>
      <c r="ED284" s="62">
        <f t="shared" si="3206"/>
        <v>0</v>
      </c>
      <c r="EE284" s="62">
        <f t="shared" si="3190"/>
        <v>0</v>
      </c>
      <c r="EF284" s="48">
        <f t="shared" si="3207"/>
        <v>0</v>
      </c>
      <c r="EG284" s="62">
        <f t="shared" si="3208"/>
        <v>0</v>
      </c>
      <c r="EH284" s="62">
        <f t="shared" si="3191"/>
        <v>0</v>
      </c>
      <c r="EI284" s="48">
        <f t="shared" si="3209"/>
        <v>0</v>
      </c>
      <c r="EJ284" s="62">
        <f t="shared" si="3210"/>
        <v>0</v>
      </c>
      <c r="EK284" s="62">
        <f t="shared" si="3192"/>
        <v>0</v>
      </c>
      <c r="EL284" s="48">
        <f t="shared" si="3211"/>
        <v>0</v>
      </c>
      <c r="EM284" s="62">
        <f t="shared" si="3212"/>
        <v>0</v>
      </c>
      <c r="EN284" s="62">
        <f t="shared" si="3193"/>
        <v>0</v>
      </c>
      <c r="EO284" s="48">
        <f t="shared" si="3213"/>
        <v>0</v>
      </c>
      <c r="EP284" s="62">
        <f t="shared" si="3214"/>
        <v>94314.559999999998</v>
      </c>
      <c r="EQ284" s="62">
        <f t="shared" si="3214"/>
        <v>106778.56999999999</v>
      </c>
      <c r="ER284" s="62">
        <f t="shared" si="3214"/>
        <v>41546.699999999997</v>
      </c>
      <c r="ES284" s="62">
        <f t="shared" si="3215"/>
        <v>161179.88999999998</v>
      </c>
      <c r="ET284" s="62">
        <f t="shared" si="3215"/>
        <v>98859.839999999997</v>
      </c>
      <c r="EU284" s="62">
        <f t="shared" si="3215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94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 t="shared" si="3026"/>
        <v>1</v>
      </c>
      <c r="FS284" s="120" t="b">
        <f t="shared" si="3027"/>
        <v>1</v>
      </c>
      <c r="FT284" s="120" t="b">
        <f t="shared" si="3028"/>
        <v>1</v>
      </c>
      <c r="FU284" s="120" t="b">
        <f t="shared" si="3029"/>
        <v>1</v>
      </c>
      <c r="FV284" s="120" t="b">
        <f t="shared" si="3030"/>
        <v>1</v>
      </c>
      <c r="FW284" s="104" t="b">
        <f t="shared" si="3036"/>
        <v>0</v>
      </c>
      <c r="FX284" s="120" t="b">
        <f t="shared" si="3216"/>
        <v>1</v>
      </c>
      <c r="FY284" s="104" t="s">
        <v>368</v>
      </c>
      <c r="FZ284" s="104" t="b">
        <f t="shared" si="3217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218"/>
        <v>1</v>
      </c>
      <c r="GI284" s="8" t="b">
        <f t="shared" si="3219"/>
        <v>0</v>
      </c>
      <c r="GJ284" s="31" t="s">
        <v>203</v>
      </c>
    </row>
    <row r="285" spans="1:192" hidden="1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63"/>
        <v>нет минмакс</v>
      </c>
      <c r="Q285" s="95">
        <v>17092</v>
      </c>
      <c r="R285" s="95">
        <f t="shared" si="3195"/>
        <v>24270.639999999999</v>
      </c>
      <c r="S285" s="114">
        <v>24876</v>
      </c>
      <c r="T285" s="114">
        <v>34080.120000000003</v>
      </c>
      <c r="U285" s="131">
        <f t="shared" si="3164"/>
        <v>1</v>
      </c>
      <c r="V285" s="115">
        <f t="shared" si="3196"/>
        <v>38165</v>
      </c>
      <c r="W285" s="115">
        <f t="shared" si="3165"/>
        <v>54194.299999999996</v>
      </c>
      <c r="X285" s="115">
        <f t="shared" si="3166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67"/>
        <v>0</v>
      </c>
      <c r="AF285" s="95">
        <f t="shared" si="3168"/>
        <v>0</v>
      </c>
      <c r="AG285" s="114">
        <v>0</v>
      </c>
      <c r="AH285" s="95">
        <f t="shared" si="3197"/>
        <v>38165</v>
      </c>
      <c r="AI285" s="114">
        <f t="shared" si="3169"/>
        <v>54194.299999999996</v>
      </c>
      <c r="AJ285" s="114">
        <f t="shared" si="3198"/>
        <v>62489</v>
      </c>
      <c r="AK285" s="114">
        <f t="shared" si="3221"/>
        <v>213848</v>
      </c>
      <c r="AL285" s="114">
        <f t="shared" si="3199"/>
        <v>408337</v>
      </c>
      <c r="AM285" s="114">
        <f t="shared" si="3200"/>
        <v>615312</v>
      </c>
      <c r="AN285" s="133">
        <f t="shared" si="3170"/>
        <v>7.2770886964661834</v>
      </c>
      <c r="AO285" s="133" t="str">
        <f t="shared" si="3171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72"/>
        <v>0-01</v>
      </c>
      <c r="AW285" s="126">
        <f t="shared" si="3173"/>
        <v>0</v>
      </c>
      <c r="AX285" s="138"/>
      <c r="AY285" s="115">
        <f t="shared" si="3174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75"/>
        <v>0</v>
      </c>
      <c r="BG285" s="32">
        <v>0</v>
      </c>
      <c r="BH285" s="32">
        <f t="shared" si="3176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77"/>
        <v>102552</v>
      </c>
      <c r="BR285" s="95">
        <f t="shared" si="3178"/>
        <v>-47260</v>
      </c>
      <c r="BS285" s="133">
        <f t="shared" si="3222"/>
        <v>-140744</v>
      </c>
      <c r="BT285" s="133">
        <f t="shared" si="3222"/>
        <v>-251865</v>
      </c>
      <c r="BU285" s="133">
        <f t="shared" si="3222"/>
        <v>-364961</v>
      </c>
      <c r="BV285" s="133">
        <f t="shared" si="3222"/>
        <v>-476235</v>
      </c>
      <c r="BW285" s="133">
        <f t="shared" si="3222"/>
        <v>-577147</v>
      </c>
      <c r="BX285" s="133">
        <f t="shared" si="3223"/>
        <v>-679699</v>
      </c>
      <c r="BY285" s="133">
        <f t="shared" si="3223"/>
        <v>-782251</v>
      </c>
      <c r="BZ285" s="133">
        <f t="shared" si="3223"/>
        <v>-884803</v>
      </c>
      <c r="CA285" s="133">
        <f t="shared" si="3223"/>
        <v>-987355</v>
      </c>
      <c r="CB285" s="133">
        <f t="shared" si="3223"/>
        <v>-1089907</v>
      </c>
      <c r="CC285" s="133">
        <f t="shared" si="3223"/>
        <v>-1192459</v>
      </c>
      <c r="CD285" s="133">
        <f t="shared" si="3223"/>
        <v>-1295011</v>
      </c>
      <c r="CE285" s="133">
        <f t="shared" si="3223"/>
        <v>-1397563</v>
      </c>
      <c r="CF285" s="133">
        <f t="shared" si="3223"/>
        <v>-1500115</v>
      </c>
      <c r="CG285" s="133">
        <f t="shared" si="3223"/>
        <v>-1602667</v>
      </c>
      <c r="CH285" s="133">
        <f t="shared" si="3223"/>
        <v>-1705219</v>
      </c>
      <c r="CI285" s="133">
        <f t="shared" si="3223"/>
        <v>-1807771</v>
      </c>
      <c r="CJ285" s="133">
        <f t="shared" si="3223"/>
        <v>-1910323</v>
      </c>
      <c r="CK285" s="133">
        <f t="shared" si="3223"/>
        <v>-2012875</v>
      </c>
      <c r="CL285" s="133">
        <f t="shared" si="3223"/>
        <v>-2115427</v>
      </c>
      <c r="CM285" s="133">
        <f t="shared" si="3223"/>
        <v>-2217979</v>
      </c>
      <c r="CN285" s="133">
        <f t="shared" si="3223"/>
        <v>-2320531</v>
      </c>
      <c r="CO285" s="133">
        <f t="shared" si="3223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80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224"/>
        <v>0</v>
      </c>
      <c r="DB285" s="4">
        <f t="shared" si="3225"/>
        <v>0</v>
      </c>
      <c r="DC285" s="4">
        <f t="shared" si="3226"/>
        <v>0</v>
      </c>
      <c r="DD285" s="136">
        <f t="shared" si="3227"/>
        <v>0</v>
      </c>
      <c r="DE285" s="31">
        <v>0</v>
      </c>
      <c r="DG285" s="31">
        <v>0</v>
      </c>
      <c r="DH285" s="48">
        <f t="shared" si="3201"/>
        <v>0</v>
      </c>
      <c r="DI285" s="62">
        <v>19510.613000000001</v>
      </c>
      <c r="DJ285" s="62">
        <v>23437.054</v>
      </c>
      <c r="DK285" s="48">
        <f t="shared" si="3185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86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87"/>
        <v>1</v>
      </c>
      <c r="DV285" s="62">
        <v>46405</v>
      </c>
      <c r="DW285" s="62">
        <v>57650.425433750788</v>
      </c>
      <c r="DX285" s="62">
        <f t="shared" si="3202"/>
        <v>0</v>
      </c>
      <c r="DY285" s="62">
        <f t="shared" si="3188"/>
        <v>0</v>
      </c>
      <c r="DZ285" s="48">
        <f t="shared" si="3203"/>
        <v>0</v>
      </c>
      <c r="EA285" s="62">
        <f t="shared" si="3204"/>
        <v>0</v>
      </c>
      <c r="EB285" s="62">
        <f t="shared" si="3189"/>
        <v>0</v>
      </c>
      <c r="EC285" s="48">
        <f t="shared" si="3205"/>
        <v>0</v>
      </c>
      <c r="ED285" s="62">
        <f t="shared" si="3206"/>
        <v>0</v>
      </c>
      <c r="EE285" s="62">
        <f t="shared" si="3190"/>
        <v>0</v>
      </c>
      <c r="EF285" s="48">
        <f t="shared" si="3207"/>
        <v>0</v>
      </c>
      <c r="EG285" s="62">
        <f t="shared" si="3208"/>
        <v>0</v>
      </c>
      <c r="EH285" s="62">
        <f t="shared" si="3191"/>
        <v>0</v>
      </c>
      <c r="EI285" s="48">
        <f t="shared" si="3209"/>
        <v>0</v>
      </c>
      <c r="EJ285" s="62">
        <f t="shared" si="3210"/>
        <v>0</v>
      </c>
      <c r="EK285" s="62">
        <f t="shared" si="3192"/>
        <v>0</v>
      </c>
      <c r="EL285" s="48">
        <f t="shared" si="3211"/>
        <v>0</v>
      </c>
      <c r="EM285" s="62">
        <f t="shared" si="3212"/>
        <v>0</v>
      </c>
      <c r="EN285" s="62">
        <f t="shared" si="3193"/>
        <v>0</v>
      </c>
      <c r="EO285" s="48">
        <f t="shared" si="3213"/>
        <v>0</v>
      </c>
      <c r="EP285" s="62">
        <f t="shared" si="3214"/>
        <v>121303.5</v>
      </c>
      <c r="EQ285" s="62">
        <f t="shared" si="3214"/>
        <v>132747.28</v>
      </c>
      <c r="ER285" s="62">
        <f t="shared" si="3214"/>
        <v>157791.81999999998</v>
      </c>
      <c r="ES285" s="62">
        <f t="shared" si="3215"/>
        <v>160596.31999999998</v>
      </c>
      <c r="ET285" s="62">
        <f t="shared" si="3215"/>
        <v>158009.07999999999</v>
      </c>
      <c r="EU285" s="62">
        <f t="shared" si="3215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94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 t="shared" si="3026"/>
        <v>1</v>
      </c>
      <c r="FS285" s="120" t="b">
        <f t="shared" si="3027"/>
        <v>1</v>
      </c>
      <c r="FT285" s="120" t="b">
        <f t="shared" si="3028"/>
        <v>1</v>
      </c>
      <c r="FU285" s="120" t="b">
        <f t="shared" si="3029"/>
        <v>1</v>
      </c>
      <c r="FV285" s="120" t="b">
        <f t="shared" si="3030"/>
        <v>1</v>
      </c>
      <c r="FW285" s="104" t="b">
        <f t="shared" si="3036"/>
        <v>0</v>
      </c>
      <c r="FX285" s="120" t="b">
        <f t="shared" si="3216"/>
        <v>1</v>
      </c>
      <c r="FY285" s="104" t="s">
        <v>368</v>
      </c>
      <c r="FZ285" s="104" t="b">
        <f t="shared" si="3217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218"/>
        <v>1</v>
      </c>
      <c r="GI285" s="8" t="b">
        <f t="shared" si="3219"/>
        <v>0</v>
      </c>
      <c r="GJ285" s="31" t="s">
        <v>203</v>
      </c>
    </row>
    <row r="286" spans="1:192" ht="30" hidden="1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63"/>
        <v>нет минмакс</v>
      </c>
      <c r="Q286" s="95">
        <v>580.49899291992188</v>
      </c>
      <c r="R286" s="95">
        <f t="shared" si="3195"/>
        <v>78466.048872985833</v>
      </c>
      <c r="S286" s="114">
        <v>209.96000671386719</v>
      </c>
      <c r="T286" s="114">
        <v>31808.941017150879</v>
      </c>
      <c r="U286" s="131">
        <f t="shared" si="3164"/>
        <v>0</v>
      </c>
      <c r="V286" s="115">
        <f t="shared" si="3196"/>
        <v>337</v>
      </c>
      <c r="W286" s="115">
        <f t="shared" si="3165"/>
        <v>45552.289999999994</v>
      </c>
      <c r="X286" s="115">
        <f t="shared" si="3166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67"/>
        <v>0</v>
      </c>
      <c r="AF286" s="95">
        <f t="shared" si="3168"/>
        <v>0</v>
      </c>
      <c r="AG286" s="114">
        <v>0</v>
      </c>
      <c r="AH286" s="95">
        <f t="shared" si="3197"/>
        <v>337</v>
      </c>
      <c r="AI286" s="114">
        <f t="shared" si="3169"/>
        <v>45552.289999999994</v>
      </c>
      <c r="AJ286" s="114">
        <f t="shared" si="3198"/>
        <v>301</v>
      </c>
      <c r="AK286" s="114">
        <f t="shared" si="3221"/>
        <v>1852</v>
      </c>
      <c r="AL286" s="114">
        <f t="shared" si="3199"/>
        <v>3450</v>
      </c>
      <c r="AM286" s="114">
        <f t="shared" si="3200"/>
        <v>0</v>
      </c>
      <c r="AN286" s="133" t="str">
        <f t="shared" si="3170"/>
        <v>нет оборота</v>
      </c>
      <c r="AO286" s="133" t="str">
        <f t="shared" si="3171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72"/>
        <v>Нет планов</v>
      </c>
      <c r="AW286" s="126">
        <f t="shared" si="3173"/>
        <v>45552.289999999994</v>
      </c>
      <c r="AX286" s="138"/>
      <c r="AY286" s="115">
        <f t="shared" si="3174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75"/>
        <v>0</v>
      </c>
      <c r="BG286" s="32">
        <v>0</v>
      </c>
      <c r="BH286" s="32">
        <f t="shared" si="3176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77"/>
        <v>0</v>
      </c>
      <c r="BR286" s="95">
        <f t="shared" si="3178"/>
        <v>337</v>
      </c>
      <c r="BS286" s="133">
        <f t="shared" si="3222"/>
        <v>337</v>
      </c>
      <c r="BT286" s="133">
        <f t="shared" si="3222"/>
        <v>337</v>
      </c>
      <c r="BU286" s="133">
        <f t="shared" si="3222"/>
        <v>337</v>
      </c>
      <c r="BV286" s="133">
        <f t="shared" si="3222"/>
        <v>337</v>
      </c>
      <c r="BW286" s="133">
        <f t="shared" si="3222"/>
        <v>337</v>
      </c>
      <c r="BX286" s="133">
        <f t="shared" si="3223"/>
        <v>337</v>
      </c>
      <c r="BY286" s="133">
        <f t="shared" si="3223"/>
        <v>337</v>
      </c>
      <c r="BZ286" s="133">
        <f t="shared" si="3223"/>
        <v>337</v>
      </c>
      <c r="CA286" s="133">
        <f t="shared" si="3223"/>
        <v>337</v>
      </c>
      <c r="CB286" s="133">
        <f t="shared" si="3223"/>
        <v>337</v>
      </c>
      <c r="CC286" s="133">
        <f t="shared" si="3223"/>
        <v>337</v>
      </c>
      <c r="CD286" s="133">
        <f t="shared" si="3223"/>
        <v>337</v>
      </c>
      <c r="CE286" s="133">
        <f t="shared" si="3223"/>
        <v>337</v>
      </c>
      <c r="CF286" s="133">
        <f t="shared" si="3223"/>
        <v>337</v>
      </c>
      <c r="CG286" s="133">
        <f t="shared" si="3223"/>
        <v>337</v>
      </c>
      <c r="CH286" s="133">
        <f t="shared" si="3223"/>
        <v>337</v>
      </c>
      <c r="CI286" s="133">
        <f t="shared" si="3223"/>
        <v>337</v>
      </c>
      <c r="CJ286" s="133">
        <f t="shared" si="3223"/>
        <v>337</v>
      </c>
      <c r="CK286" s="133">
        <f t="shared" si="3223"/>
        <v>337</v>
      </c>
      <c r="CL286" s="133">
        <f t="shared" si="3223"/>
        <v>337</v>
      </c>
      <c r="CM286" s="133">
        <f t="shared" si="3223"/>
        <v>337</v>
      </c>
      <c r="CN286" s="133">
        <f t="shared" si="3223"/>
        <v>337</v>
      </c>
      <c r="CO286" s="133">
        <f t="shared" si="3223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80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224"/>
        <v>0</v>
      </c>
      <c r="DB286" s="4">
        <f t="shared" si="3225"/>
        <v>0</v>
      </c>
      <c r="DC286" s="4">
        <f t="shared" si="3226"/>
        <v>0</v>
      </c>
      <c r="DD286" s="136">
        <f t="shared" si="3227"/>
        <v>0</v>
      </c>
      <c r="DE286" s="31">
        <v>0</v>
      </c>
      <c r="DG286" s="31">
        <v>0</v>
      </c>
      <c r="DH286" s="48">
        <f t="shared" si="3201"/>
        <v>0</v>
      </c>
      <c r="DI286" s="62">
        <v>1326.2089999999998</v>
      </c>
      <c r="DJ286" s="62">
        <v>186448.90999999997</v>
      </c>
      <c r="DK286" s="48">
        <f t="shared" si="3185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86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87"/>
        <v>0</v>
      </c>
      <c r="DV286" s="62">
        <v>969.50400000000002</v>
      </c>
      <c r="DW286" s="62">
        <v>145931.95847586138</v>
      </c>
      <c r="DX286" s="62">
        <f t="shared" si="3202"/>
        <v>0</v>
      </c>
      <c r="DY286" s="62">
        <f t="shared" si="3188"/>
        <v>0</v>
      </c>
      <c r="DZ286" s="48">
        <f t="shared" si="3203"/>
        <v>0</v>
      </c>
      <c r="EA286" s="62">
        <f t="shared" si="3204"/>
        <v>0</v>
      </c>
      <c r="EB286" s="62">
        <f t="shared" si="3189"/>
        <v>0</v>
      </c>
      <c r="EC286" s="48">
        <f t="shared" si="3205"/>
        <v>0</v>
      </c>
      <c r="ED286" s="62">
        <f t="shared" si="3206"/>
        <v>0</v>
      </c>
      <c r="EE286" s="62">
        <f t="shared" si="3190"/>
        <v>0</v>
      </c>
      <c r="EF286" s="48">
        <f t="shared" si="3207"/>
        <v>0</v>
      </c>
      <c r="EG286" s="62">
        <f t="shared" si="3208"/>
        <v>0</v>
      </c>
      <c r="EH286" s="62">
        <f t="shared" si="3191"/>
        <v>0</v>
      </c>
      <c r="EI286" s="48">
        <f t="shared" si="3209"/>
        <v>0</v>
      </c>
      <c r="EJ286" s="62">
        <f t="shared" si="3210"/>
        <v>0</v>
      </c>
      <c r="EK286" s="62">
        <f t="shared" si="3192"/>
        <v>0</v>
      </c>
      <c r="EL286" s="48">
        <f t="shared" si="3211"/>
        <v>0</v>
      </c>
      <c r="EM286" s="62">
        <f t="shared" si="3212"/>
        <v>0</v>
      </c>
      <c r="EN286" s="62">
        <f t="shared" si="3193"/>
        <v>0</v>
      </c>
      <c r="EO286" s="48">
        <f t="shared" si="3213"/>
        <v>0</v>
      </c>
      <c r="EP286" s="62">
        <f t="shared" si="3214"/>
        <v>0</v>
      </c>
      <c r="EQ286" s="62">
        <f t="shared" si="3214"/>
        <v>0</v>
      </c>
      <c r="ER286" s="62">
        <f t="shared" si="3214"/>
        <v>0</v>
      </c>
      <c r="ES286" s="62">
        <f t="shared" si="3215"/>
        <v>0</v>
      </c>
      <c r="ET286" s="62">
        <f t="shared" si="3215"/>
        <v>0</v>
      </c>
      <c r="EU286" s="62">
        <f t="shared" si="3215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94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 t="shared" si="3026"/>
        <v>1</v>
      </c>
      <c r="FS286" s="120" t="b">
        <f t="shared" si="3027"/>
        <v>1</v>
      </c>
      <c r="FT286" s="120" t="b">
        <f t="shared" si="3028"/>
        <v>1</v>
      </c>
      <c r="FU286" s="120" t="b">
        <f t="shared" si="3029"/>
        <v>1</v>
      </c>
      <c r="FV286" s="120" t="b">
        <f t="shared" si="3030"/>
        <v>1</v>
      </c>
      <c r="FW286" s="104" t="b">
        <f t="shared" si="3036"/>
        <v>0</v>
      </c>
      <c r="FX286" s="120" t="b">
        <f t="shared" si="3216"/>
        <v>1</v>
      </c>
      <c r="FY286" s="104" t="s">
        <v>368</v>
      </c>
      <c r="FZ286" s="104" t="b">
        <f t="shared" si="3217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218"/>
        <v>1</v>
      </c>
      <c r="GI286" s="8" t="b">
        <f t="shared" si="3219"/>
        <v>0</v>
      </c>
      <c r="GJ286" s="31" t="s">
        <v>203</v>
      </c>
    </row>
    <row r="287" spans="1:192" hidden="1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228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229">Q287*FH287</f>
        <v>113836.28735482694</v>
      </c>
      <c r="S287" s="114">
        <v>200.02899742126465</v>
      </c>
      <c r="T287" s="114">
        <v>29458.270450229647</v>
      </c>
      <c r="U287" s="131">
        <f t="shared" ref="U287:U291" si="3230">IFERROR(ROUNDUP(S287/$EX287,0)*$EY287,0)</f>
        <v>0</v>
      </c>
      <c r="V287" s="115">
        <f t="shared" ref="V287:V291" si="3231">SUM(Z287:AD287)</f>
        <v>0</v>
      </c>
      <c r="W287" s="115">
        <f t="shared" ref="W287:W291" si="3232">V287*FH287</f>
        <v>0</v>
      </c>
      <c r="X287" s="115">
        <f t="shared" ref="X287:X291" si="3233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34">AA287*FH287</f>
        <v>0</v>
      </c>
      <c r="AF287" s="95">
        <f t="shared" ref="AF287:AF291" si="3235">AB287*FH287</f>
        <v>0</v>
      </c>
      <c r="AG287" s="114">
        <v>0</v>
      </c>
      <c r="AH287" s="95">
        <f t="shared" ref="AH287:AH291" si="3236">V287-AG287</f>
        <v>0</v>
      </c>
      <c r="AI287" s="114">
        <f t="shared" ref="AI287:AI291" si="3237">IF(AH287&gt;0,AH287*FH287,0)</f>
        <v>0</v>
      </c>
      <c r="AJ287" s="114">
        <f t="shared" ref="AJ287:AJ291" si="3238">CU287</f>
        <v>203871</v>
      </c>
      <c r="AK287" s="114">
        <f t="shared" ref="AK287:AK293" si="3239">SUM(CS287:CU287)</f>
        <v>586114</v>
      </c>
      <c r="AL287" s="114">
        <f t="shared" ref="AL287:AL291" si="3240">SUM(CP287:CU287)</f>
        <v>914872</v>
      </c>
      <c r="AM287" s="114">
        <f t="shared" ref="AM287:AM291" si="3241">SUM(BK287:BP287)</f>
        <v>1212152.4400000002</v>
      </c>
      <c r="AN287" s="133">
        <f t="shared" ref="AN287:AN291" si="3242">IFERROR(S287/BQ287*30,"нет оборота")</f>
        <v>2.97035408647345E-2</v>
      </c>
      <c r="AO287" s="133" t="str">
        <f t="shared" ref="AO287:AO291" si="3243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44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45">IF(AT287="Да",W287,0)</f>
        <v>0</v>
      </c>
      <c r="AX287" s="138"/>
      <c r="AY287" s="115">
        <f t="shared" ref="AY287:AY291" si="3246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47">BE287*FH287</f>
        <v>0</v>
      </c>
      <c r="BG287" s="32">
        <v>0</v>
      </c>
      <c r="BH287" s="32">
        <f t="shared" ref="BH287:BH291" si="3248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49">IF(COUNTIF(BK287:BP287,"&gt;0")=0,0,SUM(BK287:BP287)/COUNTIF(BK287:BP287,"&gt;0"))</f>
        <v>202025.40666666671</v>
      </c>
      <c r="BR287" s="95">
        <f t="shared" ref="BR287:BR291" si="3250">IF(OR(Q287=0,SUM(BK287:BP287)=0,V287&gt;Q287),V287-BK287,Q287-BK287)</f>
        <v>-204873.01199270011</v>
      </c>
      <c r="BS287" s="133">
        <f t="shared" si="3222"/>
        <v>-399677.74199270015</v>
      </c>
      <c r="BT287" s="133">
        <f t="shared" si="3222"/>
        <v>-629192.25199270016</v>
      </c>
      <c r="BU287" s="133">
        <f t="shared" si="3222"/>
        <v>-868695.59199270012</v>
      </c>
      <c r="BV287" s="133">
        <f t="shared" si="3222"/>
        <v>-1052244.2919927002</v>
      </c>
      <c r="BW287" s="133">
        <f t="shared" si="3222"/>
        <v>-1211282.1319927003</v>
      </c>
      <c r="BX287" s="133">
        <f t="shared" ref="BX287:CO287" si="3251">BW287-$BQ287</f>
        <v>-1413307.538659367</v>
      </c>
      <c r="BY287" s="133">
        <f t="shared" si="3251"/>
        <v>-1615332.9453260337</v>
      </c>
      <c r="BZ287" s="133">
        <f t="shared" si="3251"/>
        <v>-1817358.3519927005</v>
      </c>
      <c r="CA287" s="133">
        <f t="shared" si="3251"/>
        <v>-2019383.7586593672</v>
      </c>
      <c r="CB287" s="133">
        <f t="shared" si="3251"/>
        <v>-2221409.1653260337</v>
      </c>
      <c r="CC287" s="133">
        <f t="shared" si="3251"/>
        <v>-2423434.5719927005</v>
      </c>
      <c r="CD287" s="133">
        <f t="shared" si="3251"/>
        <v>-2625459.9786593672</v>
      </c>
      <c r="CE287" s="133">
        <f t="shared" si="3251"/>
        <v>-2827485.3853260339</v>
      </c>
      <c r="CF287" s="133">
        <f t="shared" si="3251"/>
        <v>-3029510.7919927007</v>
      </c>
      <c r="CG287" s="133">
        <f t="shared" si="3251"/>
        <v>-3231536.1986593674</v>
      </c>
      <c r="CH287" s="133">
        <f t="shared" si="3251"/>
        <v>-3433561.6053260341</v>
      </c>
      <c r="CI287" s="133">
        <f t="shared" si="3251"/>
        <v>-3635587.0119927009</v>
      </c>
      <c r="CJ287" s="133">
        <f t="shared" si="3251"/>
        <v>-3837612.4186593676</v>
      </c>
      <c r="CK287" s="133">
        <f t="shared" si="3251"/>
        <v>-4039637.8253260343</v>
      </c>
      <c r="CL287" s="133">
        <f t="shared" si="3251"/>
        <v>-4241663.2319927011</v>
      </c>
      <c r="CM287" s="133">
        <f t="shared" si="3251"/>
        <v>-4443688.6386593673</v>
      </c>
      <c r="CN287" s="133">
        <f t="shared" si="3251"/>
        <v>-4645714.0453260336</v>
      </c>
      <c r="CO287" s="133">
        <f t="shared" si="3251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52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224"/>
        <v>0</v>
      </c>
      <c r="DB287" s="4">
        <f t="shared" si="3225"/>
        <v>0</v>
      </c>
      <c r="DC287" s="4">
        <f t="shared" si="3226"/>
        <v>0</v>
      </c>
      <c r="DD287" s="136">
        <f t="shared" si="3227"/>
        <v>0</v>
      </c>
      <c r="DE287" s="31">
        <v>0</v>
      </c>
      <c r="DG287" s="31">
        <v>0</v>
      </c>
      <c r="DH287" s="48">
        <f t="shared" ref="DH287:DH291" si="3253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54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55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56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57">$DF287*BK287/30</f>
        <v>0</v>
      </c>
      <c r="DY287" s="62">
        <f t="shared" ref="DY287:DY291" si="3258">DX287*$FH287</f>
        <v>0</v>
      </c>
      <c r="DZ287" s="48">
        <f t="shared" ref="DZ287:DZ291" si="3259">IFERROR(ROUNDUP(DX287/$EX287,0)*$EY287,0)</f>
        <v>0</v>
      </c>
      <c r="EA287" s="62">
        <f t="shared" ref="EA287:EA291" si="3260">$DF287*BL287/30</f>
        <v>0</v>
      </c>
      <c r="EB287" s="62">
        <f t="shared" ref="EB287:EB291" si="3261">EA287*$FH287</f>
        <v>0</v>
      </c>
      <c r="EC287" s="48">
        <f t="shared" ref="EC287:EC291" si="3262">IFERROR(ROUNDUP(EA287/$EX287,0)*$EY287,0)</f>
        <v>0</v>
      </c>
      <c r="ED287" s="62">
        <f t="shared" ref="ED287:ED291" si="3263">$DF287*BM287/30</f>
        <v>0</v>
      </c>
      <c r="EE287" s="62">
        <f t="shared" ref="EE287:EE291" si="3264">ED287*$FH287</f>
        <v>0</v>
      </c>
      <c r="EF287" s="48">
        <f t="shared" ref="EF287:EF291" si="3265">IFERROR(ROUNDUP(ED287/$EX287,0)*$EY287,0)</f>
        <v>0</v>
      </c>
      <c r="EG287" s="62">
        <f t="shared" ref="EG287:EG291" si="3266">$DF287*BN287/30</f>
        <v>0</v>
      </c>
      <c r="EH287" s="62">
        <f t="shared" ref="EH287:EH291" si="3267">EG287*$FH287</f>
        <v>0</v>
      </c>
      <c r="EI287" s="48">
        <f t="shared" ref="EI287:EI291" si="3268">IFERROR(ROUNDUP(EG287/$EX287,0)*$EY287,0)</f>
        <v>0</v>
      </c>
      <c r="EJ287" s="62">
        <f t="shared" ref="EJ287:EJ291" si="3269">$DF287*BO287/30</f>
        <v>0</v>
      </c>
      <c r="EK287" s="62">
        <f t="shared" ref="EK287:EK291" si="3270">EJ287*$FH287</f>
        <v>0</v>
      </c>
      <c r="EL287" s="48">
        <f t="shared" ref="EL287:EL291" si="3271">IFERROR(ROUNDUP(EJ287/$EX287,0)*$EY287,0)</f>
        <v>0</v>
      </c>
      <c r="EM287" s="62">
        <f t="shared" ref="EM287:EM291" si="3272">$DF287*BP287/30</f>
        <v>0</v>
      </c>
      <c r="EN287" s="62">
        <f t="shared" ref="EN287:EN291" si="3273">EM287*$FH287</f>
        <v>0</v>
      </c>
      <c r="EO287" s="48">
        <f t="shared" ref="EO287:EO291" si="3274">IFERROR(ROUNDUP(EM287/$EX287,0)*$EY287,0)</f>
        <v>0</v>
      </c>
      <c r="EP287" s="62">
        <f t="shared" ref="EP287:EU290" si="3275">BK287*$FH287</f>
        <v>26911226.256000005</v>
      </c>
      <c r="EQ287" s="62">
        <f t="shared" si="3275"/>
        <v>25480458.684000004</v>
      </c>
      <c r="ER287" s="62">
        <f t="shared" si="3275"/>
        <v>30020497.908000004</v>
      </c>
      <c r="ES287" s="62">
        <f t="shared" si="3275"/>
        <v>31327036.872000001</v>
      </c>
      <c r="ET287" s="62">
        <f t="shared" si="3275"/>
        <v>24008169.960000005</v>
      </c>
      <c r="EU287" s="62">
        <f t="shared" si="3275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76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 t="shared" si="3026"/>
        <v>1</v>
      </c>
      <c r="FS287" s="120" t="b">
        <f t="shared" si="3027"/>
        <v>1</v>
      </c>
      <c r="FT287" s="120" t="b">
        <f t="shared" si="3028"/>
        <v>1</v>
      </c>
      <c r="FU287" s="120" t="b">
        <f t="shared" si="3029"/>
        <v>1</v>
      </c>
      <c r="FV287" s="120" t="b">
        <f t="shared" si="3030"/>
        <v>1</v>
      </c>
      <c r="FW287" s="104" t="b">
        <f t="shared" si="3036"/>
        <v>0</v>
      </c>
      <c r="FX287" s="120" t="b">
        <f t="shared" ref="FX287:FX291" si="3277">EXACT(FQ287,BI287)</f>
        <v>1</v>
      </c>
      <c r="FY287" s="104" t="s">
        <v>368</v>
      </c>
      <c r="FZ287" s="104" t="b">
        <f t="shared" ref="FZ287:FZ291" si="3278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79">EXACT(GD287,C287)</f>
        <v>1</v>
      </c>
      <c r="GI287" s="8" t="b">
        <f t="shared" ref="GI287:GI291" si="3280">EXACT(GG287,G287)</f>
        <v>0</v>
      </c>
      <c r="GJ287" s="31" t="s">
        <v>203</v>
      </c>
    </row>
    <row r="288" spans="1:192" hidden="1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228"/>
        <v>нет минмакс</v>
      </c>
      <c r="Q288" s="95">
        <v>3876</v>
      </c>
      <c r="R288" s="95">
        <f t="shared" si="3229"/>
        <v>18992.400000000001</v>
      </c>
      <c r="S288" s="114">
        <v>5802</v>
      </c>
      <c r="T288" s="114">
        <v>27385.439999999999</v>
      </c>
      <c r="U288" s="131">
        <f t="shared" si="3230"/>
        <v>1</v>
      </c>
      <c r="V288" s="115">
        <f t="shared" si="3231"/>
        <v>3807</v>
      </c>
      <c r="W288" s="115">
        <f t="shared" si="3232"/>
        <v>18654.300000000003</v>
      </c>
      <c r="X288" s="115">
        <f t="shared" si="3233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34"/>
        <v>0</v>
      </c>
      <c r="AF288" s="95">
        <f t="shared" si="3235"/>
        <v>0</v>
      </c>
      <c r="AG288" s="114">
        <v>0</v>
      </c>
      <c r="AH288" s="95">
        <f t="shared" si="3236"/>
        <v>3807</v>
      </c>
      <c r="AI288" s="114">
        <f t="shared" si="3237"/>
        <v>18654.300000000003</v>
      </c>
      <c r="AJ288" s="114">
        <f t="shared" si="3238"/>
        <v>8444</v>
      </c>
      <c r="AK288" s="114">
        <f t="shared" si="3239"/>
        <v>31670</v>
      </c>
      <c r="AL288" s="114">
        <f t="shared" si="3240"/>
        <v>67331</v>
      </c>
      <c r="AM288" s="114">
        <f t="shared" si="3241"/>
        <v>130886</v>
      </c>
      <c r="AN288" s="133">
        <f t="shared" si="3242"/>
        <v>7.9791574347141792</v>
      </c>
      <c r="AO288" s="133" t="str">
        <f t="shared" si="3243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44"/>
        <v>0-01</v>
      </c>
      <c r="AW288" s="126">
        <f t="shared" si="3245"/>
        <v>0</v>
      </c>
      <c r="AX288" s="138"/>
      <c r="AY288" s="115">
        <f t="shared" si="3246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47"/>
        <v>0</v>
      </c>
      <c r="BG288" s="32">
        <v>0</v>
      </c>
      <c r="BH288" s="32">
        <f t="shared" si="3248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49"/>
        <v>21814.333333333332</v>
      </c>
      <c r="BR288" s="95">
        <f t="shared" si="3250"/>
        <v>-7087</v>
      </c>
      <c r="BS288" s="133">
        <f t="shared" ref="BS288:BW292" si="3281">BR288-BL288</f>
        <v>-27085</v>
      </c>
      <c r="BT288" s="133">
        <f t="shared" si="3281"/>
        <v>-54013</v>
      </c>
      <c r="BU288" s="133">
        <f t="shared" si="3281"/>
        <v>-82456</v>
      </c>
      <c r="BV288" s="133">
        <f t="shared" si="3281"/>
        <v>-109266</v>
      </c>
      <c r="BW288" s="133">
        <f t="shared" si="3281"/>
        <v>-127010</v>
      </c>
      <c r="BX288" s="133">
        <f t="shared" ref="BX288:CO289" si="3282">BW288-$BQ288</f>
        <v>-148824.33333333334</v>
      </c>
      <c r="BY288" s="133">
        <f t="shared" si="3282"/>
        <v>-170638.66666666669</v>
      </c>
      <c r="BZ288" s="133">
        <f t="shared" si="3282"/>
        <v>-192453.00000000003</v>
      </c>
      <c r="CA288" s="133">
        <f t="shared" si="3282"/>
        <v>-214267.33333333337</v>
      </c>
      <c r="CB288" s="133">
        <f t="shared" si="3282"/>
        <v>-236081.66666666672</v>
      </c>
      <c r="CC288" s="133">
        <f t="shared" si="3282"/>
        <v>-257896.00000000006</v>
      </c>
      <c r="CD288" s="133">
        <f t="shared" si="3282"/>
        <v>-279710.33333333337</v>
      </c>
      <c r="CE288" s="133">
        <f t="shared" si="3282"/>
        <v>-301524.66666666669</v>
      </c>
      <c r="CF288" s="133">
        <f t="shared" si="3282"/>
        <v>-323339</v>
      </c>
      <c r="CG288" s="133">
        <f t="shared" si="3282"/>
        <v>-345153.33333333331</v>
      </c>
      <c r="CH288" s="133">
        <f t="shared" si="3282"/>
        <v>-366967.66666666663</v>
      </c>
      <c r="CI288" s="133">
        <f t="shared" si="3282"/>
        <v>-388781.99999999994</v>
      </c>
      <c r="CJ288" s="133">
        <f t="shared" si="3282"/>
        <v>-410596.33333333326</v>
      </c>
      <c r="CK288" s="133">
        <f t="shared" si="3282"/>
        <v>-432410.66666666657</v>
      </c>
      <c r="CL288" s="133">
        <f t="shared" si="3282"/>
        <v>-454224.99999999988</v>
      </c>
      <c r="CM288" s="133">
        <f t="shared" si="3282"/>
        <v>-476039.3333333332</v>
      </c>
      <c r="CN288" s="133">
        <f t="shared" si="3282"/>
        <v>-497853.66666666651</v>
      </c>
      <c r="CO288" s="133">
        <f t="shared" si="3282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52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224"/>
        <v>0</v>
      </c>
      <c r="DB288" s="4">
        <f t="shared" si="3225"/>
        <v>0</v>
      </c>
      <c r="DC288" s="4">
        <f t="shared" si="3226"/>
        <v>0</v>
      </c>
      <c r="DD288" s="136">
        <f t="shared" si="3227"/>
        <v>0</v>
      </c>
      <c r="DE288" s="31">
        <v>0</v>
      </c>
      <c r="DG288" s="31">
        <v>0</v>
      </c>
      <c r="DH288" s="48">
        <f t="shared" si="3253"/>
        <v>0</v>
      </c>
      <c r="DI288" s="62">
        <v>33869.646000000001</v>
      </c>
      <c r="DJ288" s="62">
        <v>159911.247</v>
      </c>
      <c r="DK288" s="48">
        <f t="shared" si="3254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55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56"/>
        <v>2</v>
      </c>
      <c r="DV288" s="62">
        <v>12515</v>
      </c>
      <c r="DW288" s="62">
        <v>59100.842875842878</v>
      </c>
      <c r="DX288" s="62">
        <f t="shared" si="3257"/>
        <v>0</v>
      </c>
      <c r="DY288" s="62">
        <f t="shared" si="3258"/>
        <v>0</v>
      </c>
      <c r="DZ288" s="48">
        <f t="shared" si="3259"/>
        <v>0</v>
      </c>
      <c r="EA288" s="62">
        <f t="shared" si="3260"/>
        <v>0</v>
      </c>
      <c r="EB288" s="62">
        <f t="shared" si="3261"/>
        <v>0</v>
      </c>
      <c r="EC288" s="48">
        <f t="shared" si="3262"/>
        <v>0</v>
      </c>
      <c r="ED288" s="62">
        <f t="shared" si="3263"/>
        <v>0</v>
      </c>
      <c r="EE288" s="62">
        <f t="shared" si="3264"/>
        <v>0</v>
      </c>
      <c r="EF288" s="48">
        <f t="shared" si="3265"/>
        <v>0</v>
      </c>
      <c r="EG288" s="62">
        <f t="shared" si="3266"/>
        <v>0</v>
      </c>
      <c r="EH288" s="62">
        <f t="shared" si="3267"/>
        <v>0</v>
      </c>
      <c r="EI288" s="48">
        <f t="shared" si="3268"/>
        <v>0</v>
      </c>
      <c r="EJ288" s="62">
        <f t="shared" si="3269"/>
        <v>0</v>
      </c>
      <c r="EK288" s="62">
        <f t="shared" si="3270"/>
        <v>0</v>
      </c>
      <c r="EL288" s="48">
        <f t="shared" si="3271"/>
        <v>0</v>
      </c>
      <c r="EM288" s="62">
        <f t="shared" si="3272"/>
        <v>0</v>
      </c>
      <c r="EN288" s="62">
        <f t="shared" si="3273"/>
        <v>0</v>
      </c>
      <c r="EO288" s="48">
        <f t="shared" si="3274"/>
        <v>0</v>
      </c>
      <c r="EP288" s="62">
        <f t="shared" si="3275"/>
        <v>53718.700000000004</v>
      </c>
      <c r="EQ288" s="62">
        <f t="shared" si="3275"/>
        <v>97990.200000000012</v>
      </c>
      <c r="ER288" s="62">
        <f t="shared" si="3275"/>
        <v>131947.20000000001</v>
      </c>
      <c r="ES288" s="62">
        <f t="shared" si="3275"/>
        <v>139370.70000000001</v>
      </c>
      <c r="ET288" s="62">
        <f t="shared" si="3275"/>
        <v>131369</v>
      </c>
      <c r="EU288" s="62">
        <f t="shared" si="3275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76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 t="shared" si="3026"/>
        <v>1</v>
      </c>
      <c r="FS288" s="120" t="b">
        <f t="shared" si="3027"/>
        <v>1</v>
      </c>
      <c r="FT288" s="120" t="b">
        <f t="shared" si="3028"/>
        <v>1</v>
      </c>
      <c r="FU288" s="120" t="b">
        <f t="shared" si="3029"/>
        <v>1</v>
      </c>
      <c r="FV288" s="120" t="b">
        <f t="shared" si="3030"/>
        <v>1</v>
      </c>
      <c r="FW288" s="104" t="b">
        <f t="shared" si="3036"/>
        <v>0</v>
      </c>
      <c r="FX288" s="120" t="b">
        <f t="shared" si="3277"/>
        <v>1</v>
      </c>
      <c r="FY288" s="104" t="s">
        <v>368</v>
      </c>
      <c r="FZ288" s="104" t="b">
        <f t="shared" si="3278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79"/>
        <v>1</v>
      </c>
      <c r="GI288" s="8" t="b">
        <f t="shared" si="3280"/>
        <v>0</v>
      </c>
      <c r="GJ288" s="31" t="s">
        <v>203</v>
      </c>
    </row>
    <row r="289" spans="1:192" hidden="1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228"/>
        <v>нет минмакс</v>
      </c>
      <c r="Q289" s="95">
        <v>4244</v>
      </c>
      <c r="R289" s="95">
        <f t="shared" si="3229"/>
        <v>26991.84</v>
      </c>
      <c r="S289" s="131">
        <v>4244</v>
      </c>
      <c r="T289" s="131">
        <v>26991.84</v>
      </c>
      <c r="U289" s="131">
        <f t="shared" si="3230"/>
        <v>1</v>
      </c>
      <c r="V289" s="113">
        <f t="shared" si="3231"/>
        <v>4244</v>
      </c>
      <c r="W289" s="113">
        <f t="shared" si="3232"/>
        <v>26991.84</v>
      </c>
      <c r="X289" s="113">
        <f t="shared" si="3233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34"/>
        <v>0</v>
      </c>
      <c r="AF289" s="95">
        <f t="shared" si="3235"/>
        <v>0</v>
      </c>
      <c r="AG289" s="114">
        <v>0</v>
      </c>
      <c r="AH289" s="95">
        <f t="shared" si="3236"/>
        <v>4244</v>
      </c>
      <c r="AI289" s="114">
        <f t="shared" si="3237"/>
        <v>26991.84</v>
      </c>
      <c r="AJ289" s="133">
        <f t="shared" si="3238"/>
        <v>0</v>
      </c>
      <c r="AK289" s="133">
        <f t="shared" si="3239"/>
        <v>0</v>
      </c>
      <c r="AL289" s="133">
        <f t="shared" si="3240"/>
        <v>1688</v>
      </c>
      <c r="AM289" s="133">
        <f t="shared" si="3241"/>
        <v>0</v>
      </c>
      <c r="AN289" s="133" t="str">
        <f t="shared" si="3242"/>
        <v>нет оборота</v>
      </c>
      <c r="AO289" s="133" t="str">
        <f t="shared" si="3243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44"/>
        <v>Нет планов</v>
      </c>
      <c r="AW289" s="117">
        <f t="shared" si="3245"/>
        <v>26991.84</v>
      </c>
      <c r="AX289" s="14"/>
      <c r="AY289" s="25">
        <f t="shared" si="3246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47"/>
        <v>0</v>
      </c>
      <c r="BG289" s="32">
        <v>0</v>
      </c>
      <c r="BH289" s="32">
        <f t="shared" si="3248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49"/>
        <v>0</v>
      </c>
      <c r="BR289" s="95">
        <f t="shared" si="3250"/>
        <v>4244</v>
      </c>
      <c r="BS289" s="133">
        <f t="shared" si="3281"/>
        <v>4244</v>
      </c>
      <c r="BT289" s="133">
        <f t="shared" si="3281"/>
        <v>4244</v>
      </c>
      <c r="BU289" s="133">
        <f t="shared" si="3281"/>
        <v>4244</v>
      </c>
      <c r="BV289" s="133">
        <f t="shared" si="3281"/>
        <v>4244</v>
      </c>
      <c r="BW289" s="133">
        <f t="shared" si="3281"/>
        <v>4244</v>
      </c>
      <c r="BX289" s="133">
        <f t="shared" si="3282"/>
        <v>4244</v>
      </c>
      <c r="BY289" s="133">
        <f t="shared" si="3282"/>
        <v>4244</v>
      </c>
      <c r="BZ289" s="133">
        <f t="shared" si="3282"/>
        <v>4244</v>
      </c>
      <c r="CA289" s="133">
        <f t="shared" si="3282"/>
        <v>4244</v>
      </c>
      <c r="CB289" s="133">
        <f t="shared" si="3282"/>
        <v>4244</v>
      </c>
      <c r="CC289" s="133">
        <f t="shared" si="3282"/>
        <v>4244</v>
      </c>
      <c r="CD289" s="133">
        <f t="shared" si="3282"/>
        <v>4244</v>
      </c>
      <c r="CE289" s="133">
        <f t="shared" si="3282"/>
        <v>4244</v>
      </c>
      <c r="CF289" s="133">
        <f t="shared" si="3282"/>
        <v>4244</v>
      </c>
      <c r="CG289" s="133">
        <f t="shared" si="3282"/>
        <v>4244</v>
      </c>
      <c r="CH289" s="133">
        <f t="shared" si="3282"/>
        <v>4244</v>
      </c>
      <c r="CI289" s="133">
        <f t="shared" si="3282"/>
        <v>4244</v>
      </c>
      <c r="CJ289" s="133">
        <f t="shared" si="3282"/>
        <v>4244</v>
      </c>
      <c r="CK289" s="133">
        <f t="shared" si="3282"/>
        <v>4244</v>
      </c>
      <c r="CL289" s="133">
        <f t="shared" si="3282"/>
        <v>4244</v>
      </c>
      <c r="CM289" s="133">
        <f t="shared" si="3282"/>
        <v>4244</v>
      </c>
      <c r="CN289" s="133">
        <f t="shared" si="3282"/>
        <v>4244</v>
      </c>
      <c r="CO289" s="133">
        <f t="shared" si="3282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52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224"/>
        <v>0</v>
      </c>
      <c r="DB289" s="4">
        <f t="shared" si="3225"/>
        <v>0</v>
      </c>
      <c r="DC289" s="4">
        <f t="shared" si="3226"/>
        <v>0</v>
      </c>
      <c r="DD289" s="136">
        <f t="shared" si="3227"/>
        <v>0</v>
      </c>
      <c r="DE289" s="31">
        <v>0</v>
      </c>
      <c r="DF289" s="31">
        <v>30</v>
      </c>
      <c r="DG289" s="31">
        <v>0</v>
      </c>
      <c r="DH289" s="48">
        <f t="shared" si="3253"/>
        <v>0</v>
      </c>
      <c r="DI289" s="62">
        <v>4244</v>
      </c>
      <c r="DJ289" s="62">
        <v>26991.84</v>
      </c>
      <c r="DK289" s="48">
        <f t="shared" si="3254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55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56"/>
        <v>1</v>
      </c>
      <c r="DV289" s="62">
        <v>0</v>
      </c>
      <c r="DW289" s="62">
        <v>0</v>
      </c>
      <c r="DX289" s="62">
        <f t="shared" si="3257"/>
        <v>0</v>
      </c>
      <c r="DY289" s="62">
        <f t="shared" si="3258"/>
        <v>0</v>
      </c>
      <c r="DZ289" s="48">
        <f t="shared" si="3259"/>
        <v>0</v>
      </c>
      <c r="EA289" s="62">
        <f t="shared" si="3260"/>
        <v>0</v>
      </c>
      <c r="EB289" s="62">
        <f t="shared" si="3261"/>
        <v>0</v>
      </c>
      <c r="EC289" s="48">
        <f t="shared" si="3262"/>
        <v>0</v>
      </c>
      <c r="ED289" s="62">
        <f t="shared" si="3263"/>
        <v>0</v>
      </c>
      <c r="EE289" s="62">
        <f t="shared" si="3264"/>
        <v>0</v>
      </c>
      <c r="EF289" s="48">
        <f t="shared" si="3265"/>
        <v>0</v>
      </c>
      <c r="EG289" s="62">
        <f t="shared" si="3266"/>
        <v>0</v>
      </c>
      <c r="EH289" s="62">
        <f t="shared" si="3267"/>
        <v>0</v>
      </c>
      <c r="EI289" s="48">
        <f t="shared" si="3268"/>
        <v>0</v>
      </c>
      <c r="EJ289" s="62">
        <f t="shared" si="3269"/>
        <v>0</v>
      </c>
      <c r="EK289" s="62">
        <f t="shared" si="3270"/>
        <v>0</v>
      </c>
      <c r="EL289" s="48">
        <f t="shared" si="3271"/>
        <v>0</v>
      </c>
      <c r="EM289" s="62">
        <f t="shared" si="3272"/>
        <v>0</v>
      </c>
      <c r="EN289" s="62">
        <f t="shared" si="3273"/>
        <v>0</v>
      </c>
      <c r="EO289" s="48">
        <f t="shared" si="3274"/>
        <v>0</v>
      </c>
      <c r="EP289" s="62">
        <f t="shared" si="3275"/>
        <v>0</v>
      </c>
      <c r="EQ289" s="62">
        <f t="shared" si="3275"/>
        <v>0</v>
      </c>
      <c r="ER289" s="62">
        <f t="shared" si="3275"/>
        <v>0</v>
      </c>
      <c r="ES289" s="62">
        <f t="shared" si="3275"/>
        <v>0</v>
      </c>
      <c r="ET289" s="62">
        <f t="shared" si="3275"/>
        <v>0</v>
      </c>
      <c r="EU289" s="62">
        <f t="shared" si="3275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76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 t="shared" si="3026"/>
        <v>1</v>
      </c>
      <c r="FS289" s="103" t="b">
        <f t="shared" si="3027"/>
        <v>1</v>
      </c>
      <c r="FT289" s="103" t="b">
        <f t="shared" si="3028"/>
        <v>0</v>
      </c>
      <c r="FU289" s="103" t="b">
        <f t="shared" si="3029"/>
        <v>0</v>
      </c>
      <c r="FV289" s="103" t="b">
        <f t="shared" si="3030"/>
        <v>1</v>
      </c>
      <c r="FW289" s="104" t="b">
        <f t="shared" si="3036"/>
        <v>0</v>
      </c>
      <c r="FX289" s="120" t="b">
        <f t="shared" si="3277"/>
        <v>1</v>
      </c>
      <c r="FY289" s="104" t="s">
        <v>368</v>
      </c>
      <c r="FZ289" s="104" t="b">
        <f t="shared" si="3278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79"/>
        <v>1</v>
      </c>
      <c r="GI289" s="8" t="b">
        <f t="shared" si="3280"/>
        <v>0</v>
      </c>
      <c r="GJ289" s="31" t="s">
        <v>203</v>
      </c>
    </row>
    <row r="290" spans="1:192" hidden="1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228"/>
        <v>нет минмакс</v>
      </c>
      <c r="Q290" s="95">
        <v>5032</v>
      </c>
      <c r="R290" s="95">
        <f t="shared" si="3229"/>
        <v>22291.759999999998</v>
      </c>
      <c r="S290" s="114">
        <v>6022</v>
      </c>
      <c r="T290" s="114">
        <v>26677.46</v>
      </c>
      <c r="U290" s="131">
        <f t="shared" si="3230"/>
        <v>1</v>
      </c>
      <c r="V290" s="115">
        <f t="shared" si="3231"/>
        <v>4232</v>
      </c>
      <c r="W290" s="115">
        <f t="shared" si="3232"/>
        <v>18747.759999999998</v>
      </c>
      <c r="X290" s="115">
        <f t="shared" si="3233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34"/>
        <v>0</v>
      </c>
      <c r="AF290" s="95">
        <f t="shared" si="3235"/>
        <v>0</v>
      </c>
      <c r="AG290" s="114">
        <v>0</v>
      </c>
      <c r="AH290" s="95">
        <f t="shared" si="3236"/>
        <v>4232</v>
      </c>
      <c r="AI290" s="114">
        <f t="shared" si="3237"/>
        <v>18747.759999999998</v>
      </c>
      <c r="AJ290" s="114">
        <f t="shared" si="3238"/>
        <v>434</v>
      </c>
      <c r="AK290" s="114">
        <f t="shared" si="3239"/>
        <v>1029</v>
      </c>
      <c r="AL290" s="114">
        <f t="shared" si="3240"/>
        <v>2363</v>
      </c>
      <c r="AM290" s="114">
        <f t="shared" si="3241"/>
        <v>7422</v>
      </c>
      <c r="AN290" s="133">
        <f t="shared" si="3242"/>
        <v>121.70573969280517</v>
      </c>
      <c r="AO290" s="133" t="str">
        <f t="shared" si="3243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44"/>
        <v>0-03</v>
      </c>
      <c r="AW290" s="126">
        <f t="shared" si="3245"/>
        <v>0</v>
      </c>
      <c r="AX290" s="138"/>
      <c r="AY290" s="115">
        <f t="shared" si="3246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47"/>
        <v>0</v>
      </c>
      <c r="BG290" s="32">
        <v>0</v>
      </c>
      <c r="BH290" s="32">
        <f t="shared" si="3248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49"/>
        <v>1484.4</v>
      </c>
      <c r="BR290" s="95">
        <f t="shared" si="3250"/>
        <v>4472</v>
      </c>
      <c r="BS290" s="133">
        <f t="shared" si="3281"/>
        <v>2712</v>
      </c>
      <c r="BT290" s="133">
        <f t="shared" si="3281"/>
        <v>-625</v>
      </c>
      <c r="BU290" s="133">
        <f t="shared" si="3281"/>
        <v>-1945</v>
      </c>
      <c r="BV290" s="133">
        <f t="shared" si="3281"/>
        <v>-2390</v>
      </c>
      <c r="BW290" s="133">
        <f t="shared" si="3281"/>
        <v>-2390</v>
      </c>
      <c r="BX290" s="133">
        <f t="shared" ref="BX290:CO290" si="3283">BW290-$BQ290</f>
        <v>-3874.4</v>
      </c>
      <c r="BY290" s="133">
        <f t="shared" si="3283"/>
        <v>-5358.8</v>
      </c>
      <c r="BZ290" s="133">
        <f t="shared" si="3283"/>
        <v>-6843.2000000000007</v>
      </c>
      <c r="CA290" s="133">
        <f t="shared" si="3283"/>
        <v>-8327.6</v>
      </c>
      <c r="CB290" s="133">
        <f t="shared" si="3283"/>
        <v>-9812</v>
      </c>
      <c r="CC290" s="133">
        <f t="shared" si="3283"/>
        <v>-11296.4</v>
      </c>
      <c r="CD290" s="133">
        <f t="shared" si="3283"/>
        <v>-12780.8</v>
      </c>
      <c r="CE290" s="133">
        <f t="shared" si="3283"/>
        <v>-14265.199999999999</v>
      </c>
      <c r="CF290" s="133">
        <f t="shared" si="3283"/>
        <v>-15749.599999999999</v>
      </c>
      <c r="CG290" s="133">
        <f t="shared" si="3283"/>
        <v>-17234</v>
      </c>
      <c r="CH290" s="133">
        <f t="shared" si="3283"/>
        <v>-18718.400000000001</v>
      </c>
      <c r="CI290" s="133">
        <f t="shared" si="3283"/>
        <v>-20202.800000000003</v>
      </c>
      <c r="CJ290" s="133">
        <f t="shared" si="3283"/>
        <v>-21687.200000000004</v>
      </c>
      <c r="CK290" s="133">
        <f t="shared" si="3283"/>
        <v>-23171.600000000006</v>
      </c>
      <c r="CL290" s="133">
        <f t="shared" si="3283"/>
        <v>-24656.000000000007</v>
      </c>
      <c r="CM290" s="133">
        <f t="shared" si="3283"/>
        <v>-26140.400000000009</v>
      </c>
      <c r="CN290" s="133">
        <f t="shared" si="3283"/>
        <v>-27624.80000000001</v>
      </c>
      <c r="CO290" s="133">
        <f t="shared" si="3283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52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224"/>
        <v>0</v>
      </c>
      <c r="DB290" s="4">
        <f t="shared" si="3225"/>
        <v>0</v>
      </c>
      <c r="DC290" s="4">
        <f t="shared" si="3226"/>
        <v>0</v>
      </c>
      <c r="DD290" s="136">
        <f t="shared" si="3227"/>
        <v>0</v>
      </c>
      <c r="DE290" s="31">
        <v>0</v>
      </c>
      <c r="DG290" s="31">
        <v>0</v>
      </c>
      <c r="DH290" s="48">
        <f t="shared" si="3253"/>
        <v>0</v>
      </c>
      <c r="DI290" s="62">
        <v>7154.71</v>
      </c>
      <c r="DJ290" s="62">
        <v>31713.094000000001</v>
      </c>
      <c r="DK290" s="48">
        <f t="shared" si="3254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55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56"/>
        <v>1</v>
      </c>
      <c r="DV290" s="62">
        <v>39</v>
      </c>
      <c r="DW290" s="62">
        <v>172.84830608240682</v>
      </c>
      <c r="DX290" s="62">
        <f t="shared" si="3257"/>
        <v>0</v>
      </c>
      <c r="DY290" s="62">
        <f t="shared" si="3258"/>
        <v>0</v>
      </c>
      <c r="DZ290" s="48">
        <f t="shared" si="3259"/>
        <v>0</v>
      </c>
      <c r="EA290" s="62">
        <f t="shared" si="3260"/>
        <v>0</v>
      </c>
      <c r="EB290" s="62">
        <f t="shared" si="3261"/>
        <v>0</v>
      </c>
      <c r="EC290" s="48">
        <f t="shared" si="3262"/>
        <v>0</v>
      </c>
      <c r="ED290" s="62">
        <f t="shared" si="3263"/>
        <v>0</v>
      </c>
      <c r="EE290" s="62">
        <f t="shared" si="3264"/>
        <v>0</v>
      </c>
      <c r="EF290" s="48">
        <f t="shared" si="3265"/>
        <v>0</v>
      </c>
      <c r="EG290" s="62">
        <f t="shared" si="3266"/>
        <v>0</v>
      </c>
      <c r="EH290" s="62">
        <f t="shared" si="3267"/>
        <v>0</v>
      </c>
      <c r="EI290" s="48">
        <f t="shared" si="3268"/>
        <v>0</v>
      </c>
      <c r="EJ290" s="62">
        <f t="shared" si="3269"/>
        <v>0</v>
      </c>
      <c r="EK290" s="62">
        <f t="shared" si="3270"/>
        <v>0</v>
      </c>
      <c r="EL290" s="48">
        <f t="shared" si="3271"/>
        <v>0</v>
      </c>
      <c r="EM290" s="62">
        <f t="shared" si="3272"/>
        <v>0</v>
      </c>
      <c r="EN290" s="62">
        <f t="shared" si="3273"/>
        <v>0</v>
      </c>
      <c r="EO290" s="48">
        <f t="shared" si="3274"/>
        <v>0</v>
      </c>
      <c r="EP290" s="62">
        <f t="shared" si="3275"/>
        <v>2480.7999999999997</v>
      </c>
      <c r="EQ290" s="62">
        <f t="shared" si="3275"/>
        <v>7796.7999999999993</v>
      </c>
      <c r="ER290" s="62">
        <f t="shared" si="3275"/>
        <v>14782.91</v>
      </c>
      <c r="ES290" s="62">
        <f t="shared" si="3275"/>
        <v>5847.5999999999995</v>
      </c>
      <c r="ET290" s="62">
        <f t="shared" si="3275"/>
        <v>1971.35</v>
      </c>
      <c r="EU290" s="62">
        <f t="shared" si="3275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76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 t="shared" si="3026"/>
        <v>1</v>
      </c>
      <c r="FS290" s="120" t="b">
        <f t="shared" si="3027"/>
        <v>1</v>
      </c>
      <c r="FT290" s="120" t="b">
        <f t="shared" si="3028"/>
        <v>1</v>
      </c>
      <c r="FU290" s="120" t="b">
        <f t="shared" si="3029"/>
        <v>1</v>
      </c>
      <c r="FV290" s="120" t="b">
        <f t="shared" si="3030"/>
        <v>1</v>
      </c>
      <c r="FW290" s="104" t="b">
        <f t="shared" si="3036"/>
        <v>0</v>
      </c>
      <c r="FX290" s="120" t="b">
        <f t="shared" si="3277"/>
        <v>1</v>
      </c>
      <c r="FY290" s="104" t="s">
        <v>368</v>
      </c>
      <c r="FZ290" s="104" t="b">
        <f t="shared" si="3278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79"/>
        <v>1</v>
      </c>
      <c r="GI290" s="8" t="b">
        <f t="shared" si="3280"/>
        <v>0</v>
      </c>
      <c r="GJ290" s="31" t="s">
        <v>203</v>
      </c>
    </row>
    <row r="291" spans="1:192" ht="30" hidden="1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228"/>
        <v>нет минмакс</v>
      </c>
      <c r="Q291" s="95">
        <v>72.790000915527344</v>
      </c>
      <c r="R291" s="95">
        <f t="shared" si="3229"/>
        <v>11053.889539031983</v>
      </c>
      <c r="S291" s="114">
        <v>164.97500610351563</v>
      </c>
      <c r="T291" s="114">
        <v>24853.484669494628</v>
      </c>
      <c r="U291" s="131">
        <f t="shared" si="3230"/>
        <v>0</v>
      </c>
      <c r="V291" s="115">
        <f t="shared" si="3231"/>
        <v>282</v>
      </c>
      <c r="W291" s="115">
        <f t="shared" si="3232"/>
        <v>42824.520000000004</v>
      </c>
      <c r="X291" s="115">
        <f t="shared" si="3233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34"/>
        <v>0</v>
      </c>
      <c r="AF291" s="95">
        <f t="shared" si="3235"/>
        <v>0</v>
      </c>
      <c r="AG291" s="114">
        <v>0</v>
      </c>
      <c r="AH291" s="95">
        <f t="shared" si="3236"/>
        <v>282</v>
      </c>
      <c r="AI291" s="114">
        <f t="shared" si="3237"/>
        <v>42824.520000000004</v>
      </c>
      <c r="AJ291" s="114">
        <f t="shared" si="3238"/>
        <v>0</v>
      </c>
      <c r="AK291" s="114">
        <f t="shared" si="3239"/>
        <v>175</v>
      </c>
      <c r="AL291" s="114">
        <f t="shared" si="3240"/>
        <v>621</v>
      </c>
      <c r="AM291" s="114">
        <f t="shared" si="3241"/>
        <v>0</v>
      </c>
      <c r="AN291" s="133" t="str">
        <f t="shared" si="3242"/>
        <v>нет оборота</v>
      </c>
      <c r="AO291" s="133" t="str">
        <f t="shared" si="3243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44"/>
        <v>Нет планов</v>
      </c>
      <c r="AW291" s="126">
        <f t="shared" si="3245"/>
        <v>42824.520000000004</v>
      </c>
      <c r="AX291" s="138"/>
      <c r="AY291" s="115">
        <f t="shared" si="3246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47"/>
        <v>0</v>
      </c>
      <c r="BG291" s="32">
        <v>0</v>
      </c>
      <c r="BH291" s="32">
        <f t="shared" si="3248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49"/>
        <v>0</v>
      </c>
      <c r="BR291" s="95">
        <f t="shared" si="3250"/>
        <v>282</v>
      </c>
      <c r="BS291" s="133">
        <f t="shared" si="3281"/>
        <v>282</v>
      </c>
      <c r="BT291" s="133">
        <f t="shared" si="3281"/>
        <v>282</v>
      </c>
      <c r="BU291" s="133">
        <f t="shared" si="3281"/>
        <v>282</v>
      </c>
      <c r="BV291" s="133">
        <f t="shared" si="3281"/>
        <v>282</v>
      </c>
      <c r="BW291" s="133">
        <f t="shared" si="3281"/>
        <v>282</v>
      </c>
      <c r="BX291" s="133">
        <f t="shared" ref="BX291:CO291" si="3284">BW291-$BQ291</f>
        <v>282</v>
      </c>
      <c r="BY291" s="133">
        <f t="shared" si="3284"/>
        <v>282</v>
      </c>
      <c r="BZ291" s="133">
        <f t="shared" si="3284"/>
        <v>282</v>
      </c>
      <c r="CA291" s="133">
        <f t="shared" si="3284"/>
        <v>282</v>
      </c>
      <c r="CB291" s="133">
        <f t="shared" si="3284"/>
        <v>282</v>
      </c>
      <c r="CC291" s="133">
        <f t="shared" si="3284"/>
        <v>282</v>
      </c>
      <c r="CD291" s="133">
        <f t="shared" si="3284"/>
        <v>282</v>
      </c>
      <c r="CE291" s="133">
        <f t="shared" si="3284"/>
        <v>282</v>
      </c>
      <c r="CF291" s="133">
        <f t="shared" si="3284"/>
        <v>282</v>
      </c>
      <c r="CG291" s="133">
        <f t="shared" si="3284"/>
        <v>282</v>
      </c>
      <c r="CH291" s="133">
        <f t="shared" si="3284"/>
        <v>282</v>
      </c>
      <c r="CI291" s="133">
        <f t="shared" si="3284"/>
        <v>282</v>
      </c>
      <c r="CJ291" s="133">
        <f t="shared" si="3284"/>
        <v>282</v>
      </c>
      <c r="CK291" s="133">
        <f t="shared" si="3284"/>
        <v>282</v>
      </c>
      <c r="CL291" s="133">
        <f t="shared" si="3284"/>
        <v>282</v>
      </c>
      <c r="CM291" s="133">
        <f t="shared" si="3284"/>
        <v>282</v>
      </c>
      <c r="CN291" s="133">
        <f t="shared" si="3284"/>
        <v>282</v>
      </c>
      <c r="CO291" s="133">
        <f t="shared" si="3284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52"/>
        <v>207</v>
      </c>
      <c r="DE291" s="31">
        <v>0</v>
      </c>
      <c r="DG291" s="31">
        <v>0</v>
      </c>
      <c r="DH291" s="48">
        <f t="shared" si="3253"/>
        <v>0</v>
      </c>
      <c r="DI291" s="62">
        <v>30.253</v>
      </c>
      <c r="DJ291" s="62">
        <v>4678.5360000000001</v>
      </c>
      <c r="DK291" s="48">
        <f t="shared" si="3254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55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56"/>
        <v>0</v>
      </c>
      <c r="DV291" s="62">
        <v>0</v>
      </c>
      <c r="DW291" s="62">
        <v>0</v>
      </c>
      <c r="DX291" s="62">
        <f t="shared" si="3257"/>
        <v>0</v>
      </c>
      <c r="DY291" s="62">
        <f t="shared" si="3258"/>
        <v>0</v>
      </c>
      <c r="DZ291" s="48">
        <f t="shared" si="3259"/>
        <v>0</v>
      </c>
      <c r="EA291" s="62">
        <f t="shared" si="3260"/>
        <v>0</v>
      </c>
      <c r="EB291" s="62">
        <f t="shared" si="3261"/>
        <v>0</v>
      </c>
      <c r="EC291" s="48">
        <f t="shared" si="3262"/>
        <v>0</v>
      </c>
      <c r="ED291" s="62">
        <f t="shared" si="3263"/>
        <v>0</v>
      </c>
      <c r="EE291" s="62">
        <f t="shared" si="3264"/>
        <v>0</v>
      </c>
      <c r="EF291" s="48">
        <f t="shared" si="3265"/>
        <v>0</v>
      </c>
      <c r="EG291" s="62">
        <f t="shared" si="3266"/>
        <v>0</v>
      </c>
      <c r="EH291" s="62">
        <f t="shared" si="3267"/>
        <v>0</v>
      </c>
      <c r="EI291" s="48">
        <f t="shared" si="3268"/>
        <v>0</v>
      </c>
      <c r="EJ291" s="62">
        <f t="shared" si="3269"/>
        <v>0</v>
      </c>
      <c r="EK291" s="62">
        <f t="shared" si="3270"/>
        <v>0</v>
      </c>
      <c r="EL291" s="48">
        <f t="shared" si="3271"/>
        <v>0</v>
      </c>
      <c r="EM291" s="62">
        <f t="shared" si="3272"/>
        <v>0</v>
      </c>
      <c r="EN291" s="62">
        <f t="shared" si="3273"/>
        <v>0</v>
      </c>
      <c r="EO291" s="48">
        <f t="shared" si="3274"/>
        <v>0</v>
      </c>
      <c r="EP291" s="62">
        <f t="shared" ref="EP291:ER293" si="3285">BK291*$FH291</f>
        <v>0</v>
      </c>
      <c r="EQ291" s="62">
        <f t="shared" si="3285"/>
        <v>0</v>
      </c>
      <c r="ER291" s="62">
        <f t="shared" si="3285"/>
        <v>0</v>
      </c>
      <c r="ES291" s="62">
        <f t="shared" ref="ES291:EU293" si="3286">BN291*$FH291</f>
        <v>0</v>
      </c>
      <c r="ET291" s="62">
        <f t="shared" si="3286"/>
        <v>0</v>
      </c>
      <c r="EU291" s="62">
        <f t="shared" si="3286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76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 t="shared" si="3026"/>
        <v>1</v>
      </c>
      <c r="FS291" s="120" t="b">
        <f t="shared" si="3027"/>
        <v>1</v>
      </c>
      <c r="FT291" s="120" t="b">
        <f t="shared" si="3028"/>
        <v>1</v>
      </c>
      <c r="FU291" s="120" t="b">
        <f t="shared" si="3029"/>
        <v>1</v>
      </c>
      <c r="FV291" s="120" t="b">
        <f t="shared" si="3030"/>
        <v>1</v>
      </c>
      <c r="FW291" s="104" t="b">
        <f t="shared" si="3036"/>
        <v>0</v>
      </c>
      <c r="FX291" s="120" t="b">
        <f t="shared" si="3277"/>
        <v>1</v>
      </c>
      <c r="FY291" s="104" t="s">
        <v>368</v>
      </c>
      <c r="FZ291" s="104" t="b">
        <f t="shared" si="3278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79"/>
        <v>1</v>
      </c>
      <c r="GI291" s="8" t="b">
        <f t="shared" si="3280"/>
        <v>0</v>
      </c>
      <c r="GJ291" s="31" t="s">
        <v>203</v>
      </c>
    </row>
    <row r="292" spans="1:192" ht="30" hidden="1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87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229"/>
        <v>12985.28</v>
      </c>
      <c r="S292" s="114">
        <v>171.80999755859375</v>
      </c>
      <c r="T292" s="114">
        <v>25768.063433837888</v>
      </c>
      <c r="U292" s="131">
        <f t="shared" ref="U292:U293" si="3288">IFERROR(ROUNDUP(S292/$EX292,0)*$EY292,0)</f>
        <v>0</v>
      </c>
      <c r="V292" s="115">
        <f t="shared" ref="V292:V302" si="3289">SUM(Z292:AD292)</f>
        <v>0</v>
      </c>
      <c r="W292" s="115">
        <f t="shared" ref="W292:W302" si="3290">V292*FH292</f>
        <v>0</v>
      </c>
      <c r="X292" s="115">
        <f t="shared" ref="X292:X302" si="3291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92">AA292*FH292</f>
        <v>0</v>
      </c>
      <c r="AF292" s="95">
        <f t="shared" ref="AF292:AF302" si="3293">AB292*FH292</f>
        <v>0</v>
      </c>
      <c r="AG292" s="114">
        <v>0</v>
      </c>
      <c r="AH292" s="95">
        <f t="shared" ref="AH292:AH302" si="3294">V292-AG292</f>
        <v>0</v>
      </c>
      <c r="AI292" s="114">
        <f t="shared" ref="AI292:AI302" si="3295">IF(AH292&gt;0,AH292*FH292,0)</f>
        <v>0</v>
      </c>
      <c r="AJ292" s="114">
        <f t="shared" ref="AJ292:AJ302" si="3296">CU292</f>
        <v>22</v>
      </c>
      <c r="AK292" s="114">
        <f t="shared" si="3239"/>
        <v>219</v>
      </c>
      <c r="AL292" s="114">
        <f t="shared" ref="AL292:AL302" si="3297">SUM(CP292:CU292)</f>
        <v>1354</v>
      </c>
      <c r="AM292" s="114">
        <f t="shared" ref="AM292:AM302" si="3298">SUM(BK292:BP292)</f>
        <v>0</v>
      </c>
      <c r="AN292" s="133" t="str">
        <f t="shared" ref="AN292:AN302" si="3299">IFERROR(S292/BQ292*30,"нет оборота")</f>
        <v>нет оборота</v>
      </c>
      <c r="AO292" s="133" t="str">
        <f t="shared" ref="AO292:AO302" si="3300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301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302">IF(AT292="Да",W292,0)</f>
        <v>0</v>
      </c>
      <c r="AX292" s="138"/>
      <c r="AY292" s="115">
        <f t="shared" ref="AY292:AY302" si="3303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304">BE292*FH292</f>
        <v>0</v>
      </c>
      <c r="BG292" s="32">
        <v>0</v>
      </c>
      <c r="BH292" s="32">
        <f t="shared" ref="BH292:BH302" si="3305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306">IF(COUNTIF(BK292:BP292,"&gt;0")=0,0,SUM(BK292:BP292)/COUNTIF(BK292:BP292,"&gt;0"))</f>
        <v>0</v>
      </c>
      <c r="BR292" s="95">
        <f t="shared" ref="BR292:BR302" si="3307">IF(OR(Q292=0,SUM(BK292:BP292)=0,V292&gt;Q292),V292-BK292,Q292-BK292)</f>
        <v>0</v>
      </c>
      <c r="BS292" s="133">
        <f t="shared" si="3281"/>
        <v>0</v>
      </c>
      <c r="BT292" s="133">
        <f t="shared" si="3281"/>
        <v>0</v>
      </c>
      <c r="BU292" s="133">
        <f t="shared" si="3281"/>
        <v>0</v>
      </c>
      <c r="BV292" s="133">
        <f t="shared" si="3281"/>
        <v>0</v>
      </c>
      <c r="BW292" s="133">
        <f t="shared" si="3281"/>
        <v>0</v>
      </c>
      <c r="BX292" s="133">
        <f t="shared" ref="BX292:CO293" si="3308">BW292-$BQ292</f>
        <v>0</v>
      </c>
      <c r="BY292" s="133">
        <f t="shared" si="3308"/>
        <v>0</v>
      </c>
      <c r="BZ292" s="133">
        <f t="shared" si="3308"/>
        <v>0</v>
      </c>
      <c r="CA292" s="133">
        <f t="shared" si="3308"/>
        <v>0</v>
      </c>
      <c r="CB292" s="133">
        <f t="shared" si="3308"/>
        <v>0</v>
      </c>
      <c r="CC292" s="133">
        <f t="shared" si="3308"/>
        <v>0</v>
      </c>
      <c r="CD292" s="133">
        <f t="shared" si="3308"/>
        <v>0</v>
      </c>
      <c r="CE292" s="133">
        <f t="shared" si="3308"/>
        <v>0</v>
      </c>
      <c r="CF292" s="133">
        <f t="shared" si="3308"/>
        <v>0</v>
      </c>
      <c r="CG292" s="133">
        <f t="shared" si="3308"/>
        <v>0</v>
      </c>
      <c r="CH292" s="133">
        <f t="shared" si="3308"/>
        <v>0</v>
      </c>
      <c r="CI292" s="133">
        <f t="shared" si="3308"/>
        <v>0</v>
      </c>
      <c r="CJ292" s="133">
        <f t="shared" si="3308"/>
        <v>0</v>
      </c>
      <c r="CK292" s="133">
        <f t="shared" si="3308"/>
        <v>0</v>
      </c>
      <c r="CL292" s="133">
        <f t="shared" si="3308"/>
        <v>0</v>
      </c>
      <c r="CM292" s="133">
        <f t="shared" si="3308"/>
        <v>0</v>
      </c>
      <c r="CN292" s="133">
        <f t="shared" si="3308"/>
        <v>0</v>
      </c>
      <c r="CO292" s="133">
        <f t="shared" si="3308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309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310">IFERROR(CZ292/CY292,0)</f>
        <v>0</v>
      </c>
      <c r="DB292" s="4">
        <f t="shared" ref="DB292:DB293" si="3311">CY292*FH292</f>
        <v>0</v>
      </c>
      <c r="DC292" s="4">
        <f t="shared" ref="DC292:DC293" si="3312">CZ292*FH292</f>
        <v>0</v>
      </c>
      <c r="DD292" s="136">
        <f t="shared" ref="DD292:DD293" si="3313">IFERROR(DC292/DB292,0)</f>
        <v>0</v>
      </c>
      <c r="DE292" s="31">
        <v>0</v>
      </c>
      <c r="DG292" s="31">
        <v>0</v>
      </c>
      <c r="DH292" s="48">
        <f t="shared" ref="DH292:DH293" si="3314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315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316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317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318">$DF292*BK292/30</f>
        <v>0</v>
      </c>
      <c r="DY292" s="62">
        <f t="shared" ref="DY292:DY293" si="3319">DX292*$FH292</f>
        <v>0</v>
      </c>
      <c r="DZ292" s="48">
        <f t="shared" ref="DZ292:DZ293" si="3320">IFERROR(ROUNDUP(DX292/$EX292,0)*$EY292,0)</f>
        <v>0</v>
      </c>
      <c r="EA292" s="62">
        <f t="shared" ref="EA292:EA293" si="3321">$DF292*BL292/30</f>
        <v>0</v>
      </c>
      <c r="EB292" s="62">
        <f t="shared" ref="EB292:EB293" si="3322">EA292*$FH292</f>
        <v>0</v>
      </c>
      <c r="EC292" s="48">
        <f t="shared" ref="EC292:EC293" si="3323">IFERROR(ROUNDUP(EA292/$EX292,0)*$EY292,0)</f>
        <v>0</v>
      </c>
      <c r="ED292" s="62">
        <f t="shared" ref="ED292:ED293" si="3324">$DF292*BM292/30</f>
        <v>0</v>
      </c>
      <c r="EE292" s="62">
        <f t="shared" ref="EE292:EE293" si="3325">ED292*$FH292</f>
        <v>0</v>
      </c>
      <c r="EF292" s="48">
        <f t="shared" ref="EF292:EF293" si="3326">IFERROR(ROUNDUP(ED292/$EX292,0)*$EY292,0)</f>
        <v>0</v>
      </c>
      <c r="EG292" s="62">
        <f t="shared" ref="EG292:EG293" si="3327">$DF292*BN292/30</f>
        <v>0</v>
      </c>
      <c r="EH292" s="62">
        <f t="shared" ref="EH292:EH293" si="3328">EG292*$FH292</f>
        <v>0</v>
      </c>
      <c r="EI292" s="48">
        <f t="shared" ref="EI292:EI293" si="3329">IFERROR(ROUNDUP(EG292/$EX292,0)*$EY292,0)</f>
        <v>0</v>
      </c>
      <c r="EJ292" s="62">
        <f t="shared" ref="EJ292:EJ293" si="3330">$DF292*BO292/30</f>
        <v>0</v>
      </c>
      <c r="EK292" s="62">
        <f t="shared" ref="EK292:EK293" si="3331">EJ292*$FH292</f>
        <v>0</v>
      </c>
      <c r="EL292" s="48">
        <f t="shared" ref="EL292:EL293" si="3332">IFERROR(ROUNDUP(EJ292/$EX292,0)*$EY292,0)</f>
        <v>0</v>
      </c>
      <c r="EM292" s="62">
        <f t="shared" ref="EM292:EM293" si="3333">$DF292*BP292/30</f>
        <v>0</v>
      </c>
      <c r="EN292" s="62">
        <f t="shared" ref="EN292:EN293" si="3334">EM292*$FH292</f>
        <v>0</v>
      </c>
      <c r="EO292" s="48">
        <f t="shared" ref="EO292:EO293" si="3335">IFERROR(ROUNDUP(EM292/$EX292,0)*$EY292,0)</f>
        <v>0</v>
      </c>
      <c r="EP292" s="62">
        <f t="shared" si="3285"/>
        <v>0</v>
      </c>
      <c r="EQ292" s="62">
        <f t="shared" si="3285"/>
        <v>0</v>
      </c>
      <c r="ER292" s="62">
        <f t="shared" si="3285"/>
        <v>0</v>
      </c>
      <c r="ES292" s="62">
        <f t="shared" si="3286"/>
        <v>0</v>
      </c>
      <c r="ET292" s="62">
        <f t="shared" si="3286"/>
        <v>0</v>
      </c>
      <c r="EU292" s="62">
        <f t="shared" si="3286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36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 t="shared" si="3026"/>
        <v>1</v>
      </c>
      <c r="FS292" s="120" t="b">
        <f t="shared" si="3027"/>
        <v>1</v>
      </c>
      <c r="FT292" s="120" t="b">
        <f t="shared" si="3028"/>
        <v>1</v>
      </c>
      <c r="FU292" s="120" t="b">
        <f t="shared" si="3029"/>
        <v>1</v>
      </c>
      <c r="FV292" s="120" t="b">
        <f t="shared" si="3030"/>
        <v>1</v>
      </c>
      <c r="FW292" s="104" t="b">
        <f t="shared" si="3036"/>
        <v>0</v>
      </c>
      <c r="FX292" s="120" t="b">
        <f t="shared" ref="FX292:FX302" si="3337">EXACT(FQ292,BI292)</f>
        <v>1</v>
      </c>
      <c r="FY292" s="104" t="s">
        <v>368</v>
      </c>
      <c r="FZ292" s="104" t="b">
        <f t="shared" ref="FZ292:FZ302" si="3338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39">EXACT(GD292,C292)</f>
        <v>1</v>
      </c>
      <c r="GI292" s="8" t="b">
        <f t="shared" ref="GI292:GI302" si="3340">EXACT(GG292,G292)</f>
        <v>0</v>
      </c>
      <c r="GJ292" s="31" t="s">
        <v>203</v>
      </c>
    </row>
    <row r="293" spans="1:192" ht="30" hidden="1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87"/>
        <v>нет минмакс</v>
      </c>
      <c r="Q293" s="95">
        <v>347.60501098632813</v>
      </c>
      <c r="R293" s="95">
        <f t="shared" ref="R293:R302" si="3341">Q293*FH293</f>
        <v>47677.503306884762</v>
      </c>
      <c r="S293" s="114">
        <v>163</v>
      </c>
      <c r="T293" s="114">
        <v>24352.2</v>
      </c>
      <c r="U293" s="131">
        <f t="shared" si="3288"/>
        <v>0</v>
      </c>
      <c r="V293" s="115">
        <f t="shared" si="3289"/>
        <v>100</v>
      </c>
      <c r="W293" s="115">
        <f t="shared" si="3290"/>
        <v>13716</v>
      </c>
      <c r="X293" s="115">
        <f t="shared" si="3291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92"/>
        <v>0</v>
      </c>
      <c r="AF293" s="95">
        <f t="shared" si="3293"/>
        <v>0</v>
      </c>
      <c r="AG293" s="114">
        <v>0</v>
      </c>
      <c r="AH293" s="95">
        <f t="shared" si="3294"/>
        <v>100</v>
      </c>
      <c r="AI293" s="114">
        <f t="shared" si="3295"/>
        <v>13716</v>
      </c>
      <c r="AJ293" s="114">
        <f t="shared" si="3296"/>
        <v>592</v>
      </c>
      <c r="AK293" s="114">
        <f t="shared" si="3239"/>
        <v>1832</v>
      </c>
      <c r="AL293" s="114">
        <f t="shared" si="3297"/>
        <v>2553</v>
      </c>
      <c r="AM293" s="114">
        <f t="shared" si="3298"/>
        <v>0</v>
      </c>
      <c r="AN293" s="133" t="str">
        <f t="shared" si="3299"/>
        <v>нет оборота</v>
      </c>
      <c r="AO293" s="133" t="str">
        <f t="shared" si="3300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301"/>
        <v>Нет планов</v>
      </c>
      <c r="AW293" s="126">
        <f t="shared" si="3302"/>
        <v>13716</v>
      </c>
      <c r="AX293" s="138"/>
      <c r="AY293" s="115">
        <f t="shared" si="3303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304"/>
        <v>0</v>
      </c>
      <c r="BG293" s="32">
        <v>0</v>
      </c>
      <c r="BH293" s="32">
        <f t="shared" si="3305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306"/>
        <v>0</v>
      </c>
      <c r="BR293" s="95">
        <f t="shared" si="3307"/>
        <v>100</v>
      </c>
      <c r="BS293" s="133">
        <f t="shared" ref="BS293:BW302" si="3342">BR293-BL293</f>
        <v>100</v>
      </c>
      <c r="BT293" s="133">
        <f t="shared" si="3342"/>
        <v>100</v>
      </c>
      <c r="BU293" s="133">
        <f t="shared" si="3342"/>
        <v>100</v>
      </c>
      <c r="BV293" s="133">
        <f t="shared" si="3342"/>
        <v>100</v>
      </c>
      <c r="BW293" s="133">
        <f t="shared" si="3342"/>
        <v>100</v>
      </c>
      <c r="BX293" s="133">
        <f t="shared" si="3308"/>
        <v>100</v>
      </c>
      <c r="BY293" s="133">
        <f t="shared" si="3308"/>
        <v>100</v>
      </c>
      <c r="BZ293" s="133">
        <f t="shared" si="3308"/>
        <v>100</v>
      </c>
      <c r="CA293" s="133">
        <f t="shared" si="3308"/>
        <v>100</v>
      </c>
      <c r="CB293" s="133">
        <f t="shared" si="3308"/>
        <v>100</v>
      </c>
      <c r="CC293" s="133">
        <f t="shared" si="3308"/>
        <v>100</v>
      </c>
      <c r="CD293" s="133">
        <f t="shared" si="3308"/>
        <v>100</v>
      </c>
      <c r="CE293" s="133">
        <f t="shared" si="3308"/>
        <v>100</v>
      </c>
      <c r="CF293" s="133">
        <f t="shared" si="3308"/>
        <v>100</v>
      </c>
      <c r="CG293" s="133">
        <f t="shared" si="3308"/>
        <v>100</v>
      </c>
      <c r="CH293" s="133">
        <f t="shared" si="3308"/>
        <v>100</v>
      </c>
      <c r="CI293" s="133">
        <f t="shared" si="3308"/>
        <v>100</v>
      </c>
      <c r="CJ293" s="133">
        <f t="shared" si="3308"/>
        <v>100</v>
      </c>
      <c r="CK293" s="133">
        <f t="shared" si="3308"/>
        <v>100</v>
      </c>
      <c r="CL293" s="133">
        <f t="shared" si="3308"/>
        <v>100</v>
      </c>
      <c r="CM293" s="133">
        <f t="shared" si="3308"/>
        <v>100</v>
      </c>
      <c r="CN293" s="133">
        <f t="shared" si="3308"/>
        <v>100</v>
      </c>
      <c r="CO293" s="133">
        <f t="shared" si="3308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309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310"/>
        <v>0</v>
      </c>
      <c r="DB293" s="4">
        <f t="shared" si="3311"/>
        <v>0</v>
      </c>
      <c r="DC293" s="4">
        <f t="shared" si="3312"/>
        <v>0</v>
      </c>
      <c r="DD293" s="136">
        <f t="shared" si="3313"/>
        <v>0</v>
      </c>
      <c r="DE293" s="31">
        <v>0</v>
      </c>
      <c r="DG293" s="31">
        <v>0</v>
      </c>
      <c r="DH293" s="48">
        <f t="shared" si="3314"/>
        <v>0</v>
      </c>
      <c r="DI293" s="62">
        <v>193.09100000000001</v>
      </c>
      <c r="DJ293" s="62">
        <v>28595.163999999997</v>
      </c>
      <c r="DK293" s="48">
        <f t="shared" si="3315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316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317"/>
        <v>0</v>
      </c>
      <c r="DV293" s="62">
        <v>0</v>
      </c>
      <c r="DW293" s="62">
        <v>0</v>
      </c>
      <c r="DX293" s="62">
        <f t="shared" si="3318"/>
        <v>0</v>
      </c>
      <c r="DY293" s="62">
        <f t="shared" si="3319"/>
        <v>0</v>
      </c>
      <c r="DZ293" s="48">
        <f t="shared" si="3320"/>
        <v>0</v>
      </c>
      <c r="EA293" s="62">
        <f t="shared" si="3321"/>
        <v>0</v>
      </c>
      <c r="EB293" s="62">
        <f t="shared" si="3322"/>
        <v>0</v>
      </c>
      <c r="EC293" s="48">
        <f t="shared" si="3323"/>
        <v>0</v>
      </c>
      <c r="ED293" s="62">
        <f t="shared" si="3324"/>
        <v>0</v>
      </c>
      <c r="EE293" s="62">
        <f t="shared" si="3325"/>
        <v>0</v>
      </c>
      <c r="EF293" s="48">
        <f t="shared" si="3326"/>
        <v>0</v>
      </c>
      <c r="EG293" s="62">
        <f t="shared" si="3327"/>
        <v>0</v>
      </c>
      <c r="EH293" s="62">
        <f t="shared" si="3328"/>
        <v>0</v>
      </c>
      <c r="EI293" s="48">
        <f t="shared" si="3329"/>
        <v>0</v>
      </c>
      <c r="EJ293" s="62">
        <f t="shared" si="3330"/>
        <v>0</v>
      </c>
      <c r="EK293" s="62">
        <f t="shared" si="3331"/>
        <v>0</v>
      </c>
      <c r="EL293" s="48">
        <f t="shared" si="3332"/>
        <v>0</v>
      </c>
      <c r="EM293" s="62">
        <f t="shared" si="3333"/>
        <v>0</v>
      </c>
      <c r="EN293" s="62">
        <f t="shared" si="3334"/>
        <v>0</v>
      </c>
      <c r="EO293" s="48">
        <f t="shared" si="3335"/>
        <v>0</v>
      </c>
      <c r="EP293" s="62">
        <f t="shared" si="3285"/>
        <v>0</v>
      </c>
      <c r="EQ293" s="62">
        <f t="shared" si="3285"/>
        <v>0</v>
      </c>
      <c r="ER293" s="62">
        <f t="shared" si="3285"/>
        <v>0</v>
      </c>
      <c r="ES293" s="62">
        <f t="shared" si="3286"/>
        <v>0</v>
      </c>
      <c r="ET293" s="62">
        <f t="shared" si="3286"/>
        <v>0</v>
      </c>
      <c r="EU293" s="62">
        <f t="shared" si="3286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36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 t="shared" si="3026"/>
        <v>1</v>
      </c>
      <c r="FS293" s="120" t="b">
        <f t="shared" si="3027"/>
        <v>1</v>
      </c>
      <c r="FT293" s="120" t="b">
        <f t="shared" si="3028"/>
        <v>1</v>
      </c>
      <c r="FU293" s="120" t="b">
        <f t="shared" si="3029"/>
        <v>1</v>
      </c>
      <c r="FV293" s="120" t="b">
        <f t="shared" si="3030"/>
        <v>1</v>
      </c>
      <c r="FW293" s="104" t="b">
        <f t="shared" si="3036"/>
        <v>0</v>
      </c>
      <c r="FX293" s="120" t="b">
        <f t="shared" si="3337"/>
        <v>1</v>
      </c>
      <c r="FY293" s="104" t="s">
        <v>368</v>
      </c>
      <c r="FZ293" s="104" t="b">
        <f t="shared" si="3338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39"/>
        <v>1</v>
      </c>
      <c r="GI293" s="8" t="b">
        <f t="shared" si="3340"/>
        <v>0</v>
      </c>
      <c r="GJ293" s="31" t="s">
        <v>203</v>
      </c>
    </row>
    <row r="294" spans="1:192" hidden="1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87"/>
        <v>нет минмакс</v>
      </c>
      <c r="Q294" s="95">
        <v>3088</v>
      </c>
      <c r="R294" s="95">
        <f t="shared" si="3341"/>
        <v>237559.84000000003</v>
      </c>
      <c r="S294" s="96">
        <v>0</v>
      </c>
      <c r="T294" s="96">
        <v>0</v>
      </c>
      <c r="U294" s="131">
        <v>0</v>
      </c>
      <c r="V294" s="94">
        <f t="shared" si="3289"/>
        <v>3088</v>
      </c>
      <c r="W294" s="94">
        <f t="shared" si="3290"/>
        <v>237559.84000000003</v>
      </c>
      <c r="X294" s="115">
        <f t="shared" si="3291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92"/>
        <v>0</v>
      </c>
      <c r="AF294" s="95">
        <f t="shared" si="3293"/>
        <v>0</v>
      </c>
      <c r="AG294" s="96">
        <v>0</v>
      </c>
      <c r="AH294" s="95">
        <f t="shared" si="3294"/>
        <v>3088</v>
      </c>
      <c r="AI294" s="114">
        <f t="shared" si="3295"/>
        <v>237559.84000000003</v>
      </c>
      <c r="AJ294" s="96">
        <f t="shared" si="3296"/>
        <v>1008</v>
      </c>
      <c r="AK294" s="96">
        <f t="shared" ref="AK294:AK302" si="3343">SUM(CS294:CU294)</f>
        <v>1008</v>
      </c>
      <c r="AL294" s="96">
        <f t="shared" si="3297"/>
        <v>1008</v>
      </c>
      <c r="AM294" s="96">
        <f t="shared" si="3298"/>
        <v>0</v>
      </c>
      <c r="AN294" s="133" t="str">
        <f t="shared" si="3299"/>
        <v>нет оборота</v>
      </c>
      <c r="AO294" s="133" t="str">
        <f t="shared" si="3300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301"/>
        <v>Нет планов</v>
      </c>
      <c r="AW294" s="117">
        <f t="shared" si="3302"/>
        <v>237559.84000000003</v>
      </c>
      <c r="AX294" s="14">
        <f t="shared" ref="AX294:AX298" si="3344">MONTH(BC294)-6</f>
        <v>2</v>
      </c>
      <c r="AY294" s="94">
        <f t="shared" si="3303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304"/>
        <v>0</v>
      </c>
      <c r="BG294" s="32">
        <v>0</v>
      </c>
      <c r="BH294" s="32">
        <f t="shared" si="3305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306"/>
        <v>0</v>
      </c>
      <c r="BR294" s="95">
        <f t="shared" si="3307"/>
        <v>3088</v>
      </c>
      <c r="BS294" s="133">
        <f t="shared" si="3342"/>
        <v>3088</v>
      </c>
      <c r="BT294" s="133">
        <f t="shared" si="3342"/>
        <v>3088</v>
      </c>
      <c r="BU294" s="133">
        <f t="shared" si="3342"/>
        <v>3088</v>
      </c>
      <c r="BV294" s="133">
        <f t="shared" si="3342"/>
        <v>3088</v>
      </c>
      <c r="BW294" s="133">
        <f t="shared" si="3342"/>
        <v>3088</v>
      </c>
      <c r="BX294" s="133">
        <f t="shared" ref="BX294:CO299" si="3345">BW294-$BQ294</f>
        <v>3088</v>
      </c>
      <c r="BY294" s="133">
        <f t="shared" si="3345"/>
        <v>3088</v>
      </c>
      <c r="BZ294" s="133">
        <f t="shared" si="3345"/>
        <v>3088</v>
      </c>
      <c r="CA294" s="133">
        <f t="shared" si="3345"/>
        <v>3088</v>
      </c>
      <c r="CB294" s="133">
        <f t="shared" si="3345"/>
        <v>3088</v>
      </c>
      <c r="CC294" s="133">
        <f t="shared" si="3345"/>
        <v>3088</v>
      </c>
      <c r="CD294" s="133">
        <f t="shared" si="3345"/>
        <v>3088</v>
      </c>
      <c r="CE294" s="133">
        <f t="shared" si="3345"/>
        <v>3088</v>
      </c>
      <c r="CF294" s="133">
        <f t="shared" si="3345"/>
        <v>3088</v>
      </c>
      <c r="CG294" s="133">
        <f t="shared" si="3345"/>
        <v>3088</v>
      </c>
      <c r="CH294" s="133">
        <f t="shared" si="3345"/>
        <v>3088</v>
      </c>
      <c r="CI294" s="133">
        <f t="shared" si="3345"/>
        <v>3088</v>
      </c>
      <c r="CJ294" s="133">
        <f t="shared" si="3345"/>
        <v>3088</v>
      </c>
      <c r="CK294" s="133">
        <f t="shared" si="3345"/>
        <v>3088</v>
      </c>
      <c r="CL294" s="133">
        <f t="shared" si="3345"/>
        <v>3088</v>
      </c>
      <c r="CM294" s="133">
        <f t="shared" si="3345"/>
        <v>3088</v>
      </c>
      <c r="CN294" s="133">
        <f t="shared" si="3345"/>
        <v>3088</v>
      </c>
      <c r="CO294" s="133">
        <f t="shared" si="3345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309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 t="shared" si="3026"/>
        <v>1</v>
      </c>
      <c r="FS294" s="104" t="b">
        <f t="shared" si="3027"/>
        <v>1</v>
      </c>
      <c r="FT294" s="104" t="b">
        <f t="shared" si="3028"/>
        <v>1</v>
      </c>
      <c r="FU294" s="104" t="b">
        <f t="shared" si="3029"/>
        <v>0</v>
      </c>
      <c r="FV294" s="104" t="b">
        <f t="shared" si="3030"/>
        <v>1</v>
      </c>
      <c r="FW294" s="104" t="b">
        <f t="shared" si="3036"/>
        <v>0</v>
      </c>
      <c r="FX294" s="104" t="b">
        <f t="shared" si="3337"/>
        <v>1</v>
      </c>
      <c r="FY294" s="104" t="s">
        <v>214</v>
      </c>
      <c r="FZ294" s="104" t="b">
        <f t="shared" si="3338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39"/>
        <v>1</v>
      </c>
      <c r="GI294" s="108" t="b">
        <f t="shared" si="3340"/>
        <v>0</v>
      </c>
    </row>
    <row r="295" spans="1:192" hidden="1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87"/>
        <v>нет минмакс</v>
      </c>
      <c r="Q295" s="95">
        <v>598</v>
      </c>
      <c r="R295" s="95">
        <f t="shared" si="3341"/>
        <v>10590.58</v>
      </c>
      <c r="S295" s="114">
        <v>0</v>
      </c>
      <c r="T295" s="114">
        <v>0</v>
      </c>
      <c r="U295" s="131">
        <v>0</v>
      </c>
      <c r="V295" s="115">
        <f t="shared" si="3289"/>
        <v>598</v>
      </c>
      <c r="W295" s="115">
        <f t="shared" si="3290"/>
        <v>10590.58</v>
      </c>
      <c r="X295" s="115">
        <f t="shared" si="3291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92"/>
        <v>0</v>
      </c>
      <c r="AF295" s="95">
        <f t="shared" si="3293"/>
        <v>0</v>
      </c>
      <c r="AG295" s="114">
        <v>0</v>
      </c>
      <c r="AH295" s="95">
        <f t="shared" si="3294"/>
        <v>598</v>
      </c>
      <c r="AI295" s="114">
        <f t="shared" si="3295"/>
        <v>10590.58</v>
      </c>
      <c r="AJ295" s="133">
        <f t="shared" si="3296"/>
        <v>273</v>
      </c>
      <c r="AK295" s="133">
        <f t="shared" si="3343"/>
        <v>273</v>
      </c>
      <c r="AL295" s="133">
        <f t="shared" si="3297"/>
        <v>273</v>
      </c>
      <c r="AM295" s="133">
        <f t="shared" si="3298"/>
        <v>0</v>
      </c>
      <c r="AN295" s="133" t="str">
        <f t="shared" si="3299"/>
        <v>нет оборота</v>
      </c>
      <c r="AO295" s="133" t="str">
        <f t="shared" si="3300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301"/>
        <v>Нет планов</v>
      </c>
      <c r="AW295" s="117">
        <f t="shared" si="3302"/>
        <v>10590.58</v>
      </c>
      <c r="AX295" s="14">
        <f t="shared" si="3344"/>
        <v>6</v>
      </c>
      <c r="AY295" s="115">
        <f t="shared" si="3303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304"/>
        <v>0</v>
      </c>
      <c r="BG295" s="32">
        <v>0</v>
      </c>
      <c r="BH295" s="32">
        <f t="shared" si="3305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306"/>
        <v>0</v>
      </c>
      <c r="BR295" s="95">
        <f t="shared" si="3307"/>
        <v>598</v>
      </c>
      <c r="BS295" s="133">
        <f t="shared" si="3342"/>
        <v>598</v>
      </c>
      <c r="BT295" s="133">
        <f t="shared" si="3342"/>
        <v>598</v>
      </c>
      <c r="BU295" s="133">
        <f t="shared" si="3342"/>
        <v>598</v>
      </c>
      <c r="BV295" s="133">
        <f t="shared" si="3342"/>
        <v>598</v>
      </c>
      <c r="BW295" s="133">
        <f t="shared" si="3342"/>
        <v>598</v>
      </c>
      <c r="BX295" s="133">
        <f t="shared" si="3345"/>
        <v>598</v>
      </c>
      <c r="BY295" s="133">
        <f t="shared" si="3345"/>
        <v>598</v>
      </c>
      <c r="BZ295" s="133">
        <f t="shared" si="3345"/>
        <v>598</v>
      </c>
      <c r="CA295" s="133">
        <f t="shared" si="3345"/>
        <v>598</v>
      </c>
      <c r="CB295" s="133">
        <f t="shared" si="3345"/>
        <v>598</v>
      </c>
      <c r="CC295" s="133">
        <f t="shared" si="3345"/>
        <v>598</v>
      </c>
      <c r="CD295" s="133">
        <f t="shared" si="3345"/>
        <v>598</v>
      </c>
      <c r="CE295" s="133">
        <f t="shared" si="3345"/>
        <v>598</v>
      </c>
      <c r="CF295" s="133">
        <f t="shared" si="3345"/>
        <v>598</v>
      </c>
      <c r="CG295" s="133">
        <f t="shared" si="3345"/>
        <v>598</v>
      </c>
      <c r="CH295" s="133">
        <f t="shared" si="3345"/>
        <v>598</v>
      </c>
      <c r="CI295" s="133">
        <f t="shared" si="3345"/>
        <v>598</v>
      </c>
      <c r="CJ295" s="133">
        <f t="shared" si="3345"/>
        <v>598</v>
      </c>
      <c r="CK295" s="133">
        <f t="shared" si="3345"/>
        <v>598</v>
      </c>
      <c r="CL295" s="133">
        <f t="shared" si="3345"/>
        <v>598</v>
      </c>
      <c r="CM295" s="133">
        <f t="shared" si="3345"/>
        <v>598</v>
      </c>
      <c r="CN295" s="133">
        <f t="shared" si="3345"/>
        <v>598</v>
      </c>
      <c r="CO295" s="133">
        <f t="shared" si="3345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309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46">BK295*$FH295</f>
        <v>0</v>
      </c>
      <c r="EQ295" s="62">
        <f t="shared" si="3346"/>
        <v>0</v>
      </c>
      <c r="ER295" s="62">
        <f t="shared" si="3346"/>
        <v>0</v>
      </c>
      <c r="ES295" s="62">
        <f t="shared" si="3346"/>
        <v>0</v>
      </c>
      <c r="ET295" s="62">
        <f t="shared" si="3346"/>
        <v>0</v>
      </c>
      <c r="EU295" s="62">
        <f t="shared" si="3346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 t="shared" si="3026"/>
        <v>1</v>
      </c>
      <c r="FS295" s="103" t="b">
        <f t="shared" si="3027"/>
        <v>1</v>
      </c>
      <c r="FT295" s="103" t="b">
        <f t="shared" si="3028"/>
        <v>1</v>
      </c>
      <c r="FU295" s="103" t="b">
        <f t="shared" si="3029"/>
        <v>0</v>
      </c>
      <c r="FV295" s="103" t="b">
        <f t="shared" si="3030"/>
        <v>1</v>
      </c>
      <c r="FW295" s="104" t="b">
        <f t="shared" si="3036"/>
        <v>0</v>
      </c>
      <c r="FX295" s="120" t="b">
        <f t="shared" si="3337"/>
        <v>1</v>
      </c>
      <c r="FY295" s="104" t="s">
        <v>214</v>
      </c>
      <c r="FZ295" s="104" t="b">
        <f t="shared" si="3338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39"/>
        <v>1</v>
      </c>
      <c r="GI295" s="8" t="b">
        <f t="shared" si="3340"/>
        <v>0</v>
      </c>
    </row>
    <row r="296" spans="1:192" hidden="1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87"/>
        <v>нет минмакс</v>
      </c>
      <c r="Q296" s="95">
        <v>249</v>
      </c>
      <c r="R296" s="95">
        <f t="shared" si="3341"/>
        <v>502.98</v>
      </c>
      <c r="S296" s="114">
        <v>0</v>
      </c>
      <c r="T296" s="114">
        <v>0</v>
      </c>
      <c r="U296" s="131">
        <v>0</v>
      </c>
      <c r="V296" s="115">
        <f t="shared" si="3289"/>
        <v>175</v>
      </c>
      <c r="W296" s="115">
        <f t="shared" si="3290"/>
        <v>353.5</v>
      </c>
      <c r="X296" s="115">
        <f t="shared" si="3291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92"/>
        <v>0</v>
      </c>
      <c r="AF296" s="95">
        <f t="shared" si="3293"/>
        <v>0</v>
      </c>
      <c r="AG296" s="114">
        <v>0</v>
      </c>
      <c r="AH296" s="95">
        <f t="shared" si="3294"/>
        <v>175</v>
      </c>
      <c r="AI296" s="114">
        <f t="shared" si="3295"/>
        <v>353.5</v>
      </c>
      <c r="AJ296" s="114">
        <f t="shared" si="3296"/>
        <v>4126</v>
      </c>
      <c r="AK296" s="114">
        <f t="shared" si="3343"/>
        <v>4126</v>
      </c>
      <c r="AL296" s="114">
        <f t="shared" si="3297"/>
        <v>4126</v>
      </c>
      <c r="AM296" s="114">
        <f t="shared" si="3298"/>
        <v>0</v>
      </c>
      <c r="AN296" s="133" t="str">
        <f t="shared" si="3299"/>
        <v>нет оборота</v>
      </c>
      <c r="AO296" s="133" t="str">
        <f t="shared" si="3300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301"/>
        <v>Нет планов</v>
      </c>
      <c r="AW296" s="117">
        <f t="shared" si="3302"/>
        <v>353.5</v>
      </c>
      <c r="AX296" s="14">
        <f t="shared" si="3344"/>
        <v>6</v>
      </c>
      <c r="AY296" s="115">
        <f t="shared" si="3303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304"/>
        <v>0</v>
      </c>
      <c r="BG296" s="32">
        <v>0</v>
      </c>
      <c r="BH296" s="32">
        <f t="shared" si="3305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306"/>
        <v>0</v>
      </c>
      <c r="BR296" s="95">
        <f t="shared" si="3307"/>
        <v>175</v>
      </c>
      <c r="BS296" s="133">
        <f t="shared" si="3342"/>
        <v>175</v>
      </c>
      <c r="BT296" s="133">
        <f t="shared" si="3342"/>
        <v>175</v>
      </c>
      <c r="BU296" s="133">
        <f t="shared" si="3342"/>
        <v>175</v>
      </c>
      <c r="BV296" s="133">
        <f t="shared" si="3342"/>
        <v>175</v>
      </c>
      <c r="BW296" s="133">
        <f t="shared" si="3342"/>
        <v>175</v>
      </c>
      <c r="BX296" s="133">
        <f t="shared" si="3345"/>
        <v>175</v>
      </c>
      <c r="BY296" s="133">
        <f t="shared" si="3345"/>
        <v>175</v>
      </c>
      <c r="BZ296" s="133">
        <f t="shared" si="3345"/>
        <v>175</v>
      </c>
      <c r="CA296" s="133">
        <f t="shared" si="3345"/>
        <v>175</v>
      </c>
      <c r="CB296" s="133">
        <f t="shared" si="3345"/>
        <v>175</v>
      </c>
      <c r="CC296" s="133">
        <f t="shared" si="3345"/>
        <v>175</v>
      </c>
      <c r="CD296" s="133">
        <f t="shared" si="3345"/>
        <v>175</v>
      </c>
      <c r="CE296" s="133">
        <f t="shared" si="3345"/>
        <v>175</v>
      </c>
      <c r="CF296" s="133">
        <f t="shared" si="3345"/>
        <v>175</v>
      </c>
      <c r="CG296" s="133">
        <f t="shared" si="3345"/>
        <v>175</v>
      </c>
      <c r="CH296" s="133">
        <f t="shared" si="3345"/>
        <v>175</v>
      </c>
      <c r="CI296" s="133">
        <f t="shared" si="3345"/>
        <v>175</v>
      </c>
      <c r="CJ296" s="133">
        <f t="shared" si="3345"/>
        <v>175</v>
      </c>
      <c r="CK296" s="133">
        <f t="shared" si="3345"/>
        <v>175</v>
      </c>
      <c r="CL296" s="133">
        <f t="shared" si="3345"/>
        <v>175</v>
      </c>
      <c r="CM296" s="133">
        <f t="shared" si="3345"/>
        <v>175</v>
      </c>
      <c r="CN296" s="133">
        <f t="shared" si="3345"/>
        <v>175</v>
      </c>
      <c r="CO296" s="133">
        <f t="shared" si="3345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309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46"/>
        <v>0</v>
      </c>
      <c r="EQ296" s="62">
        <f t="shared" si="3346"/>
        <v>0</v>
      </c>
      <c r="ER296" s="62">
        <f t="shared" si="3346"/>
        <v>0</v>
      </c>
      <c r="ES296" s="62">
        <f t="shared" si="3346"/>
        <v>0</v>
      </c>
      <c r="ET296" s="62">
        <f t="shared" si="3346"/>
        <v>0</v>
      </c>
      <c r="EU296" s="62">
        <f t="shared" si="3346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 t="shared" si="3026"/>
        <v>1</v>
      </c>
      <c r="FS296" s="120" t="b">
        <f t="shared" si="3027"/>
        <v>1</v>
      </c>
      <c r="FT296" s="120" t="b">
        <f t="shared" si="3028"/>
        <v>1</v>
      </c>
      <c r="FU296" s="120" t="b">
        <f t="shared" si="3029"/>
        <v>0</v>
      </c>
      <c r="FV296" s="120" t="b">
        <f t="shared" si="3030"/>
        <v>1</v>
      </c>
      <c r="FW296" s="104" t="b">
        <f t="shared" si="3036"/>
        <v>0</v>
      </c>
      <c r="FX296" s="120" t="b">
        <f t="shared" si="3337"/>
        <v>1</v>
      </c>
      <c r="FY296" s="104" t="s">
        <v>214</v>
      </c>
      <c r="FZ296" s="104" t="b">
        <f t="shared" si="3338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39"/>
        <v>1</v>
      </c>
      <c r="GI296" s="8" t="b">
        <f t="shared" si="3340"/>
        <v>0</v>
      </c>
    </row>
    <row r="297" spans="1:192" hidden="1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87"/>
        <v>нет минмакс</v>
      </c>
      <c r="Q297" s="95">
        <v>534</v>
      </c>
      <c r="R297" s="95">
        <f t="shared" si="3341"/>
        <v>2670</v>
      </c>
      <c r="S297" s="114">
        <v>0</v>
      </c>
      <c r="T297" s="114">
        <v>0</v>
      </c>
      <c r="U297" s="131">
        <v>0</v>
      </c>
      <c r="V297" s="115">
        <f t="shared" si="3289"/>
        <v>534</v>
      </c>
      <c r="W297" s="115">
        <f t="shared" si="3290"/>
        <v>2670</v>
      </c>
      <c r="X297" s="115">
        <f t="shared" si="3291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92"/>
        <v>0</v>
      </c>
      <c r="AF297" s="95">
        <f t="shared" si="3293"/>
        <v>0</v>
      </c>
      <c r="AG297" s="114">
        <v>0</v>
      </c>
      <c r="AH297" s="95">
        <f t="shared" si="3294"/>
        <v>534</v>
      </c>
      <c r="AI297" s="114">
        <f t="shared" si="3295"/>
        <v>2670</v>
      </c>
      <c r="AJ297" s="133">
        <f t="shared" si="3296"/>
        <v>4466</v>
      </c>
      <c r="AK297" s="133">
        <f t="shared" si="3343"/>
        <v>4466</v>
      </c>
      <c r="AL297" s="133">
        <f t="shared" si="3297"/>
        <v>4466</v>
      </c>
      <c r="AM297" s="133">
        <f t="shared" si="3298"/>
        <v>0</v>
      </c>
      <c r="AN297" s="133" t="str">
        <f t="shared" si="3299"/>
        <v>нет оборота</v>
      </c>
      <c r="AO297" s="133" t="str">
        <f t="shared" si="3300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301"/>
        <v>Нет планов</v>
      </c>
      <c r="AW297" s="117">
        <f t="shared" si="3302"/>
        <v>2670</v>
      </c>
      <c r="AX297" s="14">
        <f t="shared" si="3344"/>
        <v>6</v>
      </c>
      <c r="AY297" s="115">
        <f t="shared" si="3303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304"/>
        <v>0</v>
      </c>
      <c r="BG297" s="32">
        <v>0</v>
      </c>
      <c r="BH297" s="32">
        <f t="shared" si="3305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306"/>
        <v>0</v>
      </c>
      <c r="BR297" s="95">
        <f t="shared" si="3307"/>
        <v>534</v>
      </c>
      <c r="BS297" s="133">
        <f t="shared" si="3342"/>
        <v>534</v>
      </c>
      <c r="BT297" s="133">
        <f t="shared" si="3342"/>
        <v>534</v>
      </c>
      <c r="BU297" s="133">
        <f t="shared" si="3342"/>
        <v>534</v>
      </c>
      <c r="BV297" s="133">
        <f t="shared" si="3342"/>
        <v>534</v>
      </c>
      <c r="BW297" s="133">
        <f t="shared" si="3342"/>
        <v>534</v>
      </c>
      <c r="BX297" s="133">
        <f t="shared" si="3345"/>
        <v>534</v>
      </c>
      <c r="BY297" s="133">
        <f t="shared" si="3345"/>
        <v>534</v>
      </c>
      <c r="BZ297" s="133">
        <f t="shared" si="3345"/>
        <v>534</v>
      </c>
      <c r="CA297" s="133">
        <f t="shared" si="3345"/>
        <v>534</v>
      </c>
      <c r="CB297" s="133">
        <f t="shared" si="3345"/>
        <v>534</v>
      </c>
      <c r="CC297" s="133">
        <f t="shared" si="3345"/>
        <v>534</v>
      </c>
      <c r="CD297" s="133">
        <f t="shared" si="3345"/>
        <v>534</v>
      </c>
      <c r="CE297" s="133">
        <f t="shared" si="3345"/>
        <v>534</v>
      </c>
      <c r="CF297" s="133">
        <f t="shared" si="3345"/>
        <v>534</v>
      </c>
      <c r="CG297" s="133">
        <f t="shared" si="3345"/>
        <v>534</v>
      </c>
      <c r="CH297" s="133">
        <f t="shared" si="3345"/>
        <v>534</v>
      </c>
      <c r="CI297" s="133">
        <f t="shared" si="3345"/>
        <v>534</v>
      </c>
      <c r="CJ297" s="133">
        <f t="shared" si="3345"/>
        <v>534</v>
      </c>
      <c r="CK297" s="133">
        <f t="shared" si="3345"/>
        <v>534</v>
      </c>
      <c r="CL297" s="133">
        <f t="shared" si="3345"/>
        <v>534</v>
      </c>
      <c r="CM297" s="133">
        <f t="shared" si="3345"/>
        <v>534</v>
      </c>
      <c r="CN297" s="133">
        <f t="shared" si="3345"/>
        <v>534</v>
      </c>
      <c r="CO297" s="133">
        <f t="shared" si="3345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309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46"/>
        <v>0</v>
      </c>
      <c r="EQ297" s="62">
        <f t="shared" si="3346"/>
        <v>0</v>
      </c>
      <c r="ER297" s="62">
        <f t="shared" si="3346"/>
        <v>0</v>
      </c>
      <c r="ES297" s="62">
        <f t="shared" si="3346"/>
        <v>0</v>
      </c>
      <c r="ET297" s="62">
        <f t="shared" si="3346"/>
        <v>0</v>
      </c>
      <c r="EU297" s="62">
        <f t="shared" si="3346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 t="shared" si="3026"/>
        <v>1</v>
      </c>
      <c r="FS297" s="103" t="b">
        <f t="shared" si="3027"/>
        <v>1</v>
      </c>
      <c r="FT297" s="103" t="b">
        <f t="shared" si="3028"/>
        <v>1</v>
      </c>
      <c r="FU297" s="103" t="b">
        <f t="shared" si="3029"/>
        <v>0</v>
      </c>
      <c r="FV297" s="103" t="b">
        <f t="shared" si="3030"/>
        <v>1</v>
      </c>
      <c r="FW297" s="104" t="b">
        <f t="shared" si="3036"/>
        <v>0</v>
      </c>
      <c r="FX297" s="120" t="b">
        <f t="shared" si="3337"/>
        <v>1</v>
      </c>
      <c r="FY297" s="104" t="s">
        <v>214</v>
      </c>
      <c r="FZ297" s="104" t="b">
        <f t="shared" si="3338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39"/>
        <v>1</v>
      </c>
      <c r="GI297" s="8" t="b">
        <f t="shared" si="3340"/>
        <v>0</v>
      </c>
    </row>
    <row r="298" spans="1:192" hidden="1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87"/>
        <v>нет минмакс</v>
      </c>
      <c r="Q298" s="95">
        <v>663</v>
      </c>
      <c r="R298" s="95">
        <f t="shared" si="3341"/>
        <v>3315</v>
      </c>
      <c r="S298" s="114">
        <v>0</v>
      </c>
      <c r="T298" s="114">
        <v>0</v>
      </c>
      <c r="U298" s="131">
        <v>0</v>
      </c>
      <c r="V298" s="115">
        <f t="shared" si="3289"/>
        <v>663</v>
      </c>
      <c r="W298" s="115">
        <f t="shared" si="3290"/>
        <v>3315</v>
      </c>
      <c r="X298" s="115">
        <f t="shared" si="3291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92"/>
        <v>0</v>
      </c>
      <c r="AF298" s="95">
        <f t="shared" si="3293"/>
        <v>0</v>
      </c>
      <c r="AG298" s="114">
        <v>0</v>
      </c>
      <c r="AH298" s="95">
        <f t="shared" si="3294"/>
        <v>663</v>
      </c>
      <c r="AI298" s="114">
        <f t="shared" si="3295"/>
        <v>3315</v>
      </c>
      <c r="AJ298" s="133">
        <f t="shared" si="3296"/>
        <v>4337</v>
      </c>
      <c r="AK298" s="133">
        <f t="shared" si="3343"/>
        <v>4337</v>
      </c>
      <c r="AL298" s="133">
        <f t="shared" si="3297"/>
        <v>4337</v>
      </c>
      <c r="AM298" s="133">
        <f t="shared" si="3298"/>
        <v>0</v>
      </c>
      <c r="AN298" s="133" t="str">
        <f t="shared" si="3299"/>
        <v>нет оборота</v>
      </c>
      <c r="AO298" s="133" t="str">
        <f t="shared" si="3300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301"/>
        <v>Нет планов</v>
      </c>
      <c r="AW298" s="117">
        <f t="shared" si="3302"/>
        <v>3315</v>
      </c>
      <c r="AX298" s="14">
        <f t="shared" si="3344"/>
        <v>6</v>
      </c>
      <c r="AY298" s="115">
        <f t="shared" si="3303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304"/>
        <v>0</v>
      </c>
      <c r="BG298" s="32">
        <v>0</v>
      </c>
      <c r="BH298" s="32">
        <f t="shared" si="3305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306"/>
        <v>0</v>
      </c>
      <c r="BR298" s="95">
        <f t="shared" si="3307"/>
        <v>663</v>
      </c>
      <c r="BS298" s="133">
        <f t="shared" si="3342"/>
        <v>663</v>
      </c>
      <c r="BT298" s="133">
        <f t="shared" si="3342"/>
        <v>663</v>
      </c>
      <c r="BU298" s="133">
        <f t="shared" si="3342"/>
        <v>663</v>
      </c>
      <c r="BV298" s="133">
        <f t="shared" si="3342"/>
        <v>663</v>
      </c>
      <c r="BW298" s="133">
        <f t="shared" si="3342"/>
        <v>663</v>
      </c>
      <c r="BX298" s="133">
        <f t="shared" si="3345"/>
        <v>663</v>
      </c>
      <c r="BY298" s="133">
        <f t="shared" si="3345"/>
        <v>663</v>
      </c>
      <c r="BZ298" s="133">
        <f t="shared" si="3345"/>
        <v>663</v>
      </c>
      <c r="CA298" s="133">
        <f t="shared" si="3345"/>
        <v>663</v>
      </c>
      <c r="CB298" s="133">
        <f t="shared" si="3345"/>
        <v>663</v>
      </c>
      <c r="CC298" s="133">
        <f t="shared" si="3345"/>
        <v>663</v>
      </c>
      <c r="CD298" s="133">
        <f t="shared" si="3345"/>
        <v>663</v>
      </c>
      <c r="CE298" s="133">
        <f t="shared" si="3345"/>
        <v>663</v>
      </c>
      <c r="CF298" s="133">
        <f t="shared" si="3345"/>
        <v>663</v>
      </c>
      <c r="CG298" s="133">
        <f t="shared" si="3345"/>
        <v>663</v>
      </c>
      <c r="CH298" s="133">
        <f t="shared" si="3345"/>
        <v>663</v>
      </c>
      <c r="CI298" s="133">
        <f t="shared" si="3345"/>
        <v>663</v>
      </c>
      <c r="CJ298" s="133">
        <f t="shared" si="3345"/>
        <v>663</v>
      </c>
      <c r="CK298" s="133">
        <f t="shared" si="3345"/>
        <v>663</v>
      </c>
      <c r="CL298" s="133">
        <f t="shared" si="3345"/>
        <v>663</v>
      </c>
      <c r="CM298" s="133">
        <f t="shared" si="3345"/>
        <v>663</v>
      </c>
      <c r="CN298" s="133">
        <f t="shared" si="3345"/>
        <v>663</v>
      </c>
      <c r="CO298" s="133">
        <f t="shared" si="3345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309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46"/>
        <v>0</v>
      </c>
      <c r="EQ298" s="62">
        <f t="shared" si="3346"/>
        <v>0</v>
      </c>
      <c r="ER298" s="62">
        <f t="shared" si="3346"/>
        <v>0</v>
      </c>
      <c r="ES298" s="62">
        <f t="shared" si="3346"/>
        <v>0</v>
      </c>
      <c r="ET298" s="62">
        <f t="shared" si="3346"/>
        <v>0</v>
      </c>
      <c r="EU298" s="62">
        <f t="shared" si="3346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 t="shared" si="3026"/>
        <v>1</v>
      </c>
      <c r="FS298" s="103" t="b">
        <f t="shared" si="3027"/>
        <v>1</v>
      </c>
      <c r="FT298" s="103" t="b">
        <f t="shared" si="3028"/>
        <v>1</v>
      </c>
      <c r="FU298" s="103" t="b">
        <f t="shared" si="3029"/>
        <v>0</v>
      </c>
      <c r="FV298" s="103" t="b">
        <f t="shared" si="3030"/>
        <v>1</v>
      </c>
      <c r="FW298" s="104" t="b">
        <f t="shared" si="3036"/>
        <v>0</v>
      </c>
      <c r="FX298" s="120" t="b">
        <f t="shared" si="3337"/>
        <v>1</v>
      </c>
      <c r="FY298" s="104" t="s">
        <v>214</v>
      </c>
      <c r="FZ298" s="104" t="b">
        <f t="shared" si="3338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39"/>
        <v>1</v>
      </c>
      <c r="GI298" s="8" t="b">
        <f t="shared" si="3340"/>
        <v>0</v>
      </c>
    </row>
    <row r="299" spans="1:192" hidden="1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87"/>
        <v>нет минмакс</v>
      </c>
      <c r="Q299" s="95">
        <v>0</v>
      </c>
      <c r="R299" s="95">
        <f t="shared" si="3341"/>
        <v>0</v>
      </c>
      <c r="S299" s="96">
        <v>0</v>
      </c>
      <c r="T299" s="96">
        <v>0</v>
      </c>
      <c r="U299" s="131">
        <v>0</v>
      </c>
      <c r="V299" s="94">
        <f t="shared" si="3289"/>
        <v>0</v>
      </c>
      <c r="W299" s="94">
        <f t="shared" si="3290"/>
        <v>0</v>
      </c>
      <c r="X299" s="115">
        <f t="shared" si="3291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92"/>
        <v>0</v>
      </c>
      <c r="AF299" s="95">
        <f t="shared" si="3293"/>
        <v>0</v>
      </c>
      <c r="AG299" s="96">
        <v>0</v>
      </c>
      <c r="AH299" s="95">
        <f t="shared" si="3294"/>
        <v>0</v>
      </c>
      <c r="AI299" s="114">
        <f t="shared" si="3295"/>
        <v>0</v>
      </c>
      <c r="AJ299" s="96">
        <f t="shared" si="3296"/>
        <v>1200</v>
      </c>
      <c r="AK299" s="96">
        <f t="shared" si="3343"/>
        <v>1200</v>
      </c>
      <c r="AL299" s="96">
        <f t="shared" si="3297"/>
        <v>1200</v>
      </c>
      <c r="AM299" s="96">
        <f t="shared" si="3298"/>
        <v>0</v>
      </c>
      <c r="AN299" s="133" t="str">
        <f t="shared" si="3299"/>
        <v>нет оборота</v>
      </c>
      <c r="AO299" s="133" t="str">
        <f t="shared" si="3300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301"/>
        <v>нет остатка</v>
      </c>
      <c r="AW299" s="117">
        <f t="shared" si="3302"/>
        <v>0</v>
      </c>
      <c r="AX299" s="96"/>
      <c r="AY299" s="94">
        <f t="shared" si="3303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304"/>
        <v>0</v>
      </c>
      <c r="BG299" s="32">
        <v>0</v>
      </c>
      <c r="BH299" s="32">
        <f t="shared" si="3305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306"/>
        <v>0</v>
      </c>
      <c r="BR299" s="95">
        <f t="shared" si="3307"/>
        <v>0</v>
      </c>
      <c r="BS299" s="133">
        <f t="shared" si="3342"/>
        <v>0</v>
      </c>
      <c r="BT299" s="133">
        <f t="shared" si="3342"/>
        <v>0</v>
      </c>
      <c r="BU299" s="133">
        <f t="shared" si="3342"/>
        <v>0</v>
      </c>
      <c r="BV299" s="133">
        <f t="shared" si="3342"/>
        <v>0</v>
      </c>
      <c r="BW299" s="133">
        <f t="shared" si="3342"/>
        <v>0</v>
      </c>
      <c r="BX299" s="133">
        <f t="shared" si="3345"/>
        <v>0</v>
      </c>
      <c r="BY299" s="133">
        <f t="shared" si="3345"/>
        <v>0</v>
      </c>
      <c r="BZ299" s="133">
        <f t="shared" si="3345"/>
        <v>0</v>
      </c>
      <c r="CA299" s="133">
        <f t="shared" ref="CA299:CO299" si="3347">BZ299-$BQ299</f>
        <v>0</v>
      </c>
      <c r="CB299" s="133">
        <f t="shared" si="3347"/>
        <v>0</v>
      </c>
      <c r="CC299" s="133">
        <f t="shared" si="3347"/>
        <v>0</v>
      </c>
      <c r="CD299" s="133">
        <f t="shared" si="3347"/>
        <v>0</v>
      </c>
      <c r="CE299" s="133">
        <f t="shared" si="3347"/>
        <v>0</v>
      </c>
      <c r="CF299" s="133">
        <f t="shared" si="3347"/>
        <v>0</v>
      </c>
      <c r="CG299" s="133">
        <f t="shared" si="3347"/>
        <v>0</v>
      </c>
      <c r="CH299" s="133">
        <f t="shared" si="3347"/>
        <v>0</v>
      </c>
      <c r="CI299" s="133">
        <f t="shared" si="3347"/>
        <v>0</v>
      </c>
      <c r="CJ299" s="133">
        <f t="shared" si="3347"/>
        <v>0</v>
      </c>
      <c r="CK299" s="133">
        <f t="shared" si="3347"/>
        <v>0</v>
      </c>
      <c r="CL299" s="133">
        <f t="shared" si="3347"/>
        <v>0</v>
      </c>
      <c r="CM299" s="133">
        <f t="shared" si="3347"/>
        <v>0</v>
      </c>
      <c r="CN299" s="133">
        <f t="shared" si="3347"/>
        <v>0</v>
      </c>
      <c r="CO299" s="133">
        <f t="shared" si="3347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309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 t="shared" si="3026"/>
        <v>0</v>
      </c>
      <c r="FS299" s="104" t="b">
        <f t="shared" si="3027"/>
        <v>0</v>
      </c>
      <c r="FT299" s="104" t="b">
        <f t="shared" si="3028"/>
        <v>0</v>
      </c>
      <c r="FU299" s="104" t="b">
        <f t="shared" si="3029"/>
        <v>0</v>
      </c>
      <c r="FV299" s="104" t="b">
        <f t="shared" si="3030"/>
        <v>1</v>
      </c>
      <c r="FW299" s="104" t="b">
        <f t="shared" si="3036"/>
        <v>0</v>
      </c>
      <c r="FX299" s="104" t="b">
        <f t="shared" si="3337"/>
        <v>1</v>
      </c>
      <c r="FY299" s="104" t="s">
        <v>214</v>
      </c>
      <c r="FZ299" s="104" t="b">
        <f t="shared" si="3338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39"/>
        <v>1</v>
      </c>
      <c r="GI299" s="108" t="b">
        <f t="shared" si="3340"/>
        <v>0</v>
      </c>
    </row>
    <row r="300" spans="1:192" hidden="1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87"/>
        <v>нет минмакс</v>
      </c>
      <c r="Q300" s="95">
        <v>725</v>
      </c>
      <c r="R300" s="95">
        <f t="shared" si="3341"/>
        <v>12839.75</v>
      </c>
      <c r="S300" s="114">
        <v>0</v>
      </c>
      <c r="T300" s="114">
        <v>0</v>
      </c>
      <c r="U300" s="131">
        <v>0</v>
      </c>
      <c r="V300" s="115">
        <f t="shared" si="3289"/>
        <v>725</v>
      </c>
      <c r="W300" s="115">
        <f t="shared" si="3290"/>
        <v>12839.75</v>
      </c>
      <c r="X300" s="115">
        <f t="shared" si="3291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92"/>
        <v>0</v>
      </c>
      <c r="AF300" s="95">
        <f t="shared" si="3293"/>
        <v>0</v>
      </c>
      <c r="AG300" s="114">
        <v>0</v>
      </c>
      <c r="AH300" s="95">
        <f t="shared" si="3294"/>
        <v>725</v>
      </c>
      <c r="AI300" s="114">
        <f t="shared" si="3295"/>
        <v>12839.75</v>
      </c>
      <c r="AJ300" s="133">
        <f t="shared" si="3296"/>
        <v>75</v>
      </c>
      <c r="AK300" s="133">
        <f t="shared" si="3343"/>
        <v>75</v>
      </c>
      <c r="AL300" s="133">
        <f t="shared" si="3297"/>
        <v>75</v>
      </c>
      <c r="AM300" s="133">
        <f t="shared" si="3298"/>
        <v>0</v>
      </c>
      <c r="AN300" s="133" t="str">
        <f t="shared" si="3299"/>
        <v>нет оборота</v>
      </c>
      <c r="AO300" s="133" t="str">
        <f t="shared" si="3300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301"/>
        <v>Нет планов</v>
      </c>
      <c r="AW300" s="117">
        <f t="shared" si="3302"/>
        <v>12839.75</v>
      </c>
      <c r="AX300" s="14">
        <f t="shared" ref="AX300:AX302" si="3348">MONTH(BC300)-6</f>
        <v>2</v>
      </c>
      <c r="AY300" s="115">
        <f t="shared" si="3303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304"/>
        <v>0</v>
      </c>
      <c r="BG300" s="32">
        <v>0</v>
      </c>
      <c r="BH300" s="32">
        <f t="shared" si="3305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306"/>
        <v>0</v>
      </c>
      <c r="BR300" s="95">
        <f t="shared" si="3307"/>
        <v>725</v>
      </c>
      <c r="BS300" s="133">
        <f t="shared" si="3342"/>
        <v>725</v>
      </c>
      <c r="BT300" s="133">
        <f t="shared" si="3342"/>
        <v>725</v>
      </c>
      <c r="BU300" s="133">
        <f t="shared" si="3342"/>
        <v>725</v>
      </c>
      <c r="BV300" s="133">
        <f t="shared" si="3342"/>
        <v>725</v>
      </c>
      <c r="BW300" s="133">
        <f t="shared" si="3342"/>
        <v>725</v>
      </c>
      <c r="BX300" s="133">
        <f t="shared" ref="BX300:CO302" si="3349">BW300-$BQ300</f>
        <v>725</v>
      </c>
      <c r="BY300" s="133">
        <f t="shared" si="3349"/>
        <v>725</v>
      </c>
      <c r="BZ300" s="133">
        <f t="shared" si="3349"/>
        <v>725</v>
      </c>
      <c r="CA300" s="133">
        <f t="shared" si="3349"/>
        <v>725</v>
      </c>
      <c r="CB300" s="133">
        <f t="shared" si="3349"/>
        <v>725</v>
      </c>
      <c r="CC300" s="133">
        <f t="shared" si="3349"/>
        <v>725</v>
      </c>
      <c r="CD300" s="133">
        <f t="shared" si="3349"/>
        <v>725</v>
      </c>
      <c r="CE300" s="133">
        <f t="shared" si="3349"/>
        <v>725</v>
      </c>
      <c r="CF300" s="133">
        <f t="shared" si="3349"/>
        <v>725</v>
      </c>
      <c r="CG300" s="133">
        <f t="shared" si="3349"/>
        <v>725</v>
      </c>
      <c r="CH300" s="133">
        <f t="shared" si="3349"/>
        <v>725</v>
      </c>
      <c r="CI300" s="133">
        <f t="shared" si="3349"/>
        <v>725</v>
      </c>
      <c r="CJ300" s="133">
        <f t="shared" si="3349"/>
        <v>725</v>
      </c>
      <c r="CK300" s="133">
        <f t="shared" si="3349"/>
        <v>725</v>
      </c>
      <c r="CL300" s="133">
        <f t="shared" si="3349"/>
        <v>725</v>
      </c>
      <c r="CM300" s="133">
        <f t="shared" si="3349"/>
        <v>725</v>
      </c>
      <c r="CN300" s="133">
        <f t="shared" si="3349"/>
        <v>725</v>
      </c>
      <c r="CO300" s="133">
        <f t="shared" si="3349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309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50">BK300*$FH300</f>
        <v>0</v>
      </c>
      <c r="EQ300" s="62">
        <f t="shared" si="3350"/>
        <v>0</v>
      </c>
      <c r="ER300" s="62">
        <f t="shared" si="3350"/>
        <v>0</v>
      </c>
      <c r="ES300" s="62">
        <f t="shared" si="3350"/>
        <v>0</v>
      </c>
      <c r="ET300" s="62">
        <f t="shared" si="3350"/>
        <v>0</v>
      </c>
      <c r="EU300" s="62">
        <f t="shared" si="3350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 t="shared" si="3026"/>
        <v>1</v>
      </c>
      <c r="FS300" s="103" t="b">
        <f t="shared" si="3027"/>
        <v>1</v>
      </c>
      <c r="FT300" s="103" t="b">
        <f t="shared" si="3028"/>
        <v>1</v>
      </c>
      <c r="FU300" s="103" t="b">
        <f t="shared" si="3029"/>
        <v>0</v>
      </c>
      <c r="FV300" s="103" t="b">
        <f t="shared" si="3030"/>
        <v>1</v>
      </c>
      <c r="FW300" s="104" t="b">
        <f t="shared" si="3036"/>
        <v>0</v>
      </c>
      <c r="FX300" s="120" t="b">
        <f t="shared" si="3337"/>
        <v>1</v>
      </c>
      <c r="FY300" s="104" t="s">
        <v>214</v>
      </c>
      <c r="FZ300" s="104" t="b">
        <f t="shared" si="3338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39"/>
        <v>1</v>
      </c>
      <c r="GI300" s="8" t="b">
        <f t="shared" si="3340"/>
        <v>0</v>
      </c>
    </row>
    <row r="301" spans="1:192" hidden="1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87"/>
        <v>нет минмакс</v>
      </c>
      <c r="Q301" s="95">
        <v>3678</v>
      </c>
      <c r="R301" s="95">
        <f t="shared" si="3341"/>
        <v>18390</v>
      </c>
      <c r="S301" s="114">
        <v>0</v>
      </c>
      <c r="T301" s="114">
        <v>0</v>
      </c>
      <c r="U301" s="131">
        <v>0</v>
      </c>
      <c r="V301" s="115">
        <f t="shared" si="3289"/>
        <v>3678</v>
      </c>
      <c r="W301" s="115">
        <f t="shared" si="3290"/>
        <v>18390</v>
      </c>
      <c r="X301" s="115">
        <f t="shared" si="3291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92"/>
        <v>0</v>
      </c>
      <c r="AF301" s="95">
        <f t="shared" si="3293"/>
        <v>0</v>
      </c>
      <c r="AG301" s="114">
        <v>0</v>
      </c>
      <c r="AH301" s="95">
        <f t="shared" si="3294"/>
        <v>3678</v>
      </c>
      <c r="AI301" s="114">
        <f t="shared" si="3295"/>
        <v>18390</v>
      </c>
      <c r="AJ301" s="133">
        <f t="shared" si="3296"/>
        <v>1322</v>
      </c>
      <c r="AK301" s="133">
        <f t="shared" si="3343"/>
        <v>1322</v>
      </c>
      <c r="AL301" s="133">
        <f t="shared" si="3297"/>
        <v>1322</v>
      </c>
      <c r="AM301" s="133">
        <f t="shared" si="3298"/>
        <v>0</v>
      </c>
      <c r="AN301" s="133" t="str">
        <f t="shared" si="3299"/>
        <v>нет оборота</v>
      </c>
      <c r="AO301" s="133" t="str">
        <f t="shared" si="3300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301"/>
        <v>Нет планов</v>
      </c>
      <c r="AW301" s="117">
        <f t="shared" si="3302"/>
        <v>18390</v>
      </c>
      <c r="AX301" s="14">
        <f t="shared" si="3348"/>
        <v>2</v>
      </c>
      <c r="AY301" s="115">
        <f t="shared" si="3303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304"/>
        <v>0</v>
      </c>
      <c r="BG301" s="32">
        <v>0</v>
      </c>
      <c r="BH301" s="32">
        <f t="shared" si="3305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306"/>
        <v>0</v>
      </c>
      <c r="BR301" s="95">
        <f t="shared" si="3307"/>
        <v>3678</v>
      </c>
      <c r="BS301" s="133">
        <f t="shared" si="3342"/>
        <v>3678</v>
      </c>
      <c r="BT301" s="133">
        <f t="shared" si="3342"/>
        <v>3678</v>
      </c>
      <c r="BU301" s="133">
        <f t="shared" si="3342"/>
        <v>3678</v>
      </c>
      <c r="BV301" s="133">
        <f t="shared" si="3342"/>
        <v>3678</v>
      </c>
      <c r="BW301" s="133">
        <f t="shared" si="3342"/>
        <v>3678</v>
      </c>
      <c r="BX301" s="133">
        <f t="shared" si="3349"/>
        <v>3678</v>
      </c>
      <c r="BY301" s="133">
        <f t="shared" si="3349"/>
        <v>3678</v>
      </c>
      <c r="BZ301" s="133">
        <f t="shared" si="3349"/>
        <v>3678</v>
      </c>
      <c r="CA301" s="133">
        <f t="shared" si="3349"/>
        <v>3678</v>
      </c>
      <c r="CB301" s="133">
        <f t="shared" si="3349"/>
        <v>3678</v>
      </c>
      <c r="CC301" s="133">
        <f t="shared" si="3349"/>
        <v>3678</v>
      </c>
      <c r="CD301" s="133">
        <f t="shared" si="3349"/>
        <v>3678</v>
      </c>
      <c r="CE301" s="133">
        <f t="shared" si="3349"/>
        <v>3678</v>
      </c>
      <c r="CF301" s="133">
        <f t="shared" si="3349"/>
        <v>3678</v>
      </c>
      <c r="CG301" s="133">
        <f t="shared" si="3349"/>
        <v>3678</v>
      </c>
      <c r="CH301" s="133">
        <f t="shared" si="3349"/>
        <v>3678</v>
      </c>
      <c r="CI301" s="133">
        <f t="shared" si="3349"/>
        <v>3678</v>
      </c>
      <c r="CJ301" s="133">
        <f t="shared" si="3349"/>
        <v>3678</v>
      </c>
      <c r="CK301" s="133">
        <f t="shared" si="3349"/>
        <v>3678</v>
      </c>
      <c r="CL301" s="133">
        <f t="shared" si="3349"/>
        <v>3678</v>
      </c>
      <c r="CM301" s="133">
        <f t="shared" si="3349"/>
        <v>3678</v>
      </c>
      <c r="CN301" s="133">
        <f t="shared" si="3349"/>
        <v>3678</v>
      </c>
      <c r="CO301" s="133">
        <f t="shared" si="3349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309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50"/>
        <v>0</v>
      </c>
      <c r="EQ301" s="62">
        <f t="shared" si="3350"/>
        <v>0</v>
      </c>
      <c r="ER301" s="62">
        <f t="shared" si="3350"/>
        <v>0</v>
      </c>
      <c r="ES301" s="62">
        <f t="shared" si="3350"/>
        <v>0</v>
      </c>
      <c r="ET301" s="62">
        <f t="shared" si="3350"/>
        <v>0</v>
      </c>
      <c r="EU301" s="62">
        <f t="shared" si="3350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 t="shared" si="3026"/>
        <v>1</v>
      </c>
      <c r="FS301" s="103" t="b">
        <f t="shared" si="3027"/>
        <v>1</v>
      </c>
      <c r="FT301" s="103" t="b">
        <f t="shared" si="3028"/>
        <v>1</v>
      </c>
      <c r="FU301" s="103" t="b">
        <f t="shared" si="3029"/>
        <v>0</v>
      </c>
      <c r="FV301" s="103" t="b">
        <f t="shared" si="3030"/>
        <v>1</v>
      </c>
      <c r="FW301" s="104" t="b">
        <f t="shared" si="3036"/>
        <v>0</v>
      </c>
      <c r="FX301" s="120" t="b">
        <f t="shared" si="3337"/>
        <v>1</v>
      </c>
      <c r="FY301" s="104" t="s">
        <v>214</v>
      </c>
      <c r="FZ301" s="104" t="b">
        <f t="shared" si="3338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39"/>
        <v>1</v>
      </c>
      <c r="GI301" s="8" t="b">
        <f t="shared" si="3340"/>
        <v>0</v>
      </c>
    </row>
    <row r="302" spans="1:192" hidden="1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87"/>
        <v>нет минмакс</v>
      </c>
      <c r="Q302" s="95">
        <v>3681</v>
      </c>
      <c r="R302" s="95">
        <f t="shared" si="3341"/>
        <v>18405</v>
      </c>
      <c r="S302" s="114">
        <v>0</v>
      </c>
      <c r="T302" s="114">
        <v>0</v>
      </c>
      <c r="U302" s="131">
        <v>0</v>
      </c>
      <c r="V302" s="115">
        <f t="shared" si="3289"/>
        <v>3681</v>
      </c>
      <c r="W302" s="115">
        <f t="shared" si="3290"/>
        <v>18405</v>
      </c>
      <c r="X302" s="115">
        <f t="shared" si="3291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92"/>
        <v>0</v>
      </c>
      <c r="AF302" s="95">
        <f t="shared" si="3293"/>
        <v>0</v>
      </c>
      <c r="AG302" s="114">
        <v>0</v>
      </c>
      <c r="AH302" s="95">
        <f t="shared" si="3294"/>
        <v>3681</v>
      </c>
      <c r="AI302" s="114">
        <f t="shared" si="3295"/>
        <v>18405</v>
      </c>
      <c r="AJ302" s="133">
        <f t="shared" si="3296"/>
        <v>1319</v>
      </c>
      <c r="AK302" s="133">
        <f t="shared" si="3343"/>
        <v>1319</v>
      </c>
      <c r="AL302" s="133">
        <f t="shared" si="3297"/>
        <v>1319</v>
      </c>
      <c r="AM302" s="133">
        <f t="shared" si="3298"/>
        <v>0</v>
      </c>
      <c r="AN302" s="133" t="str">
        <f t="shared" si="3299"/>
        <v>нет оборота</v>
      </c>
      <c r="AO302" s="133" t="str">
        <f t="shared" si="3300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301"/>
        <v>Нет планов</v>
      </c>
      <c r="AW302" s="117">
        <f t="shared" si="3302"/>
        <v>18405</v>
      </c>
      <c r="AX302" s="14">
        <f t="shared" si="3348"/>
        <v>2</v>
      </c>
      <c r="AY302" s="115">
        <f t="shared" si="3303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304"/>
        <v>0</v>
      </c>
      <c r="BG302" s="32">
        <v>0</v>
      </c>
      <c r="BH302" s="32">
        <f t="shared" si="3305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306"/>
        <v>0</v>
      </c>
      <c r="BR302" s="95">
        <f t="shared" si="3307"/>
        <v>3681</v>
      </c>
      <c r="BS302" s="133">
        <f t="shared" si="3342"/>
        <v>3681</v>
      </c>
      <c r="BT302" s="133">
        <f t="shared" si="3342"/>
        <v>3681</v>
      </c>
      <c r="BU302" s="133">
        <f t="shared" si="3342"/>
        <v>3681</v>
      </c>
      <c r="BV302" s="133">
        <f t="shared" si="3342"/>
        <v>3681</v>
      </c>
      <c r="BW302" s="133">
        <f t="shared" si="3342"/>
        <v>3681</v>
      </c>
      <c r="BX302" s="133">
        <f t="shared" si="3349"/>
        <v>3681</v>
      </c>
      <c r="BY302" s="133">
        <f t="shared" si="3349"/>
        <v>3681</v>
      </c>
      <c r="BZ302" s="133">
        <f t="shared" si="3349"/>
        <v>3681</v>
      </c>
      <c r="CA302" s="133">
        <f t="shared" si="3349"/>
        <v>3681</v>
      </c>
      <c r="CB302" s="133">
        <f t="shared" si="3349"/>
        <v>3681</v>
      </c>
      <c r="CC302" s="133">
        <f t="shared" si="3349"/>
        <v>3681</v>
      </c>
      <c r="CD302" s="133">
        <f t="shared" si="3349"/>
        <v>3681</v>
      </c>
      <c r="CE302" s="133">
        <f t="shared" si="3349"/>
        <v>3681</v>
      </c>
      <c r="CF302" s="133">
        <f t="shared" si="3349"/>
        <v>3681</v>
      </c>
      <c r="CG302" s="133">
        <f t="shared" si="3349"/>
        <v>3681</v>
      </c>
      <c r="CH302" s="133">
        <f t="shared" si="3349"/>
        <v>3681</v>
      </c>
      <c r="CI302" s="133">
        <f t="shared" si="3349"/>
        <v>3681</v>
      </c>
      <c r="CJ302" s="133">
        <f t="shared" si="3349"/>
        <v>3681</v>
      </c>
      <c r="CK302" s="133">
        <f t="shared" si="3349"/>
        <v>3681</v>
      </c>
      <c r="CL302" s="133">
        <f t="shared" si="3349"/>
        <v>3681</v>
      </c>
      <c r="CM302" s="133">
        <f t="shared" si="3349"/>
        <v>3681</v>
      </c>
      <c r="CN302" s="133">
        <f t="shared" si="3349"/>
        <v>3681</v>
      </c>
      <c r="CO302" s="133">
        <f t="shared" si="3349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309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50"/>
        <v>0</v>
      </c>
      <c r="EQ302" s="62">
        <f t="shared" si="3350"/>
        <v>0</v>
      </c>
      <c r="ER302" s="62">
        <f t="shared" si="3350"/>
        <v>0</v>
      </c>
      <c r="ES302" s="62">
        <f t="shared" si="3350"/>
        <v>0</v>
      </c>
      <c r="ET302" s="62">
        <f t="shared" si="3350"/>
        <v>0</v>
      </c>
      <c r="EU302" s="62">
        <f t="shared" si="3350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 t="shared" si="3026"/>
        <v>1</v>
      </c>
      <c r="FS302" s="103" t="b">
        <f t="shared" si="3027"/>
        <v>1</v>
      </c>
      <c r="FT302" s="103" t="b">
        <f t="shared" si="3028"/>
        <v>1</v>
      </c>
      <c r="FU302" s="103" t="b">
        <f t="shared" si="3029"/>
        <v>0</v>
      </c>
      <c r="FV302" s="103" t="b">
        <f t="shared" si="3030"/>
        <v>1</v>
      </c>
      <c r="FW302" s="104" t="b">
        <f t="shared" si="3036"/>
        <v>0</v>
      </c>
      <c r="FX302" s="120" t="b">
        <f t="shared" si="3337"/>
        <v>1</v>
      </c>
      <c r="FY302" s="104" t="s">
        <v>214</v>
      </c>
      <c r="FZ302" s="104" t="b">
        <f t="shared" si="3338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39"/>
        <v>1</v>
      </c>
      <c r="GI302" s="8" t="b">
        <f t="shared" si="3340"/>
        <v>0</v>
      </c>
    </row>
    <row r="303" spans="1:192" ht="105" hidden="1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51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52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53">SUM(Z303:AD303)</f>
        <v>42</v>
      </c>
      <c r="W303" s="94">
        <f t="shared" ref="W303:W306" si="3354">V303*FH303</f>
        <v>801529.68</v>
      </c>
      <c r="X303" s="115">
        <f t="shared" ref="X303:X306" si="3355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56">AA303*FH303</f>
        <v>0</v>
      </c>
      <c r="AF303" s="95">
        <f t="shared" ref="AF303:AF306" si="3357">AB303*FH303</f>
        <v>0</v>
      </c>
      <c r="AG303" s="96">
        <v>0</v>
      </c>
      <c r="AH303" s="95">
        <f t="shared" ref="AH303:AH306" si="3358">V303-AG303</f>
        <v>42</v>
      </c>
      <c r="AI303" s="114">
        <f t="shared" ref="AI303:AI306" si="3359">IF(AH303&gt;0,AH303*FH303,0)</f>
        <v>801529.68</v>
      </c>
      <c r="AJ303" s="96">
        <f t="shared" ref="AJ303:AJ306" si="3360">CU303</f>
        <v>80</v>
      </c>
      <c r="AK303" s="96">
        <f t="shared" ref="AK303:AK307" si="3361">SUM(CS303:CU303)</f>
        <v>80</v>
      </c>
      <c r="AL303" s="96">
        <f t="shared" ref="AL303:AL306" si="3362">SUM(CP303:CU303)</f>
        <v>80</v>
      </c>
      <c r="AM303" s="96">
        <f t="shared" ref="AM303:AM306" si="3363">SUM(BK303:BP303)</f>
        <v>255</v>
      </c>
      <c r="AN303" s="133">
        <f t="shared" ref="AN303:AN306" si="3364">IFERROR(S303/BQ303*30,"нет оборота")</f>
        <v>0</v>
      </c>
      <c r="AO303" s="133" t="str">
        <f t="shared" ref="AO303:AO306" si="3365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66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67">IF(AT303="Да",W303,0)</f>
        <v>801529.68</v>
      </c>
      <c r="AX303" s="14">
        <f>MONTH(BC303)-6</f>
        <v>2</v>
      </c>
      <c r="AY303" s="94">
        <f t="shared" ref="AY303:AY306" si="3368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69">BE303*FH303</f>
        <v>0</v>
      </c>
      <c r="BG303" s="32">
        <v>0</v>
      </c>
      <c r="BH303" s="32">
        <f t="shared" ref="BH303:BH306" si="3370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71">IF(COUNTIF(BK303:BP303,"&gt;0")=0,0,SUM(BK303:BP303)/COUNTIF(BK303:BP303,"&gt;0"))</f>
        <v>85</v>
      </c>
      <c r="BR303" s="95">
        <f t="shared" ref="BR303:BR306" si="3372">IF(OR(Q303=0,SUM(BK303:BP303)=0,V303&gt;Q303),V303-BK303,Q303-BK303)</f>
        <v>42</v>
      </c>
      <c r="BS303" s="133">
        <f t="shared" ref="BS303:BW307" si="3373">BR303-BL303</f>
        <v>-43</v>
      </c>
      <c r="BT303" s="133">
        <f t="shared" si="3373"/>
        <v>-43</v>
      </c>
      <c r="BU303" s="133">
        <f t="shared" si="3373"/>
        <v>-128</v>
      </c>
      <c r="BV303" s="133">
        <f t="shared" si="3373"/>
        <v>-128</v>
      </c>
      <c r="BW303" s="133">
        <f t="shared" si="3373"/>
        <v>-213</v>
      </c>
      <c r="BX303" s="133">
        <f t="shared" ref="BX303:CO304" si="3374">BW303-$BQ303</f>
        <v>-298</v>
      </c>
      <c r="BY303" s="133">
        <f t="shared" si="3374"/>
        <v>-383</v>
      </c>
      <c r="BZ303" s="133">
        <f t="shared" si="3374"/>
        <v>-468</v>
      </c>
      <c r="CA303" s="133">
        <f t="shared" si="3374"/>
        <v>-553</v>
      </c>
      <c r="CB303" s="133">
        <f t="shared" si="3374"/>
        <v>-638</v>
      </c>
      <c r="CC303" s="133">
        <f t="shared" si="3374"/>
        <v>-723</v>
      </c>
      <c r="CD303" s="133">
        <f t="shared" si="3374"/>
        <v>-808</v>
      </c>
      <c r="CE303" s="133">
        <f t="shared" si="3374"/>
        <v>-893</v>
      </c>
      <c r="CF303" s="133">
        <f t="shared" si="3374"/>
        <v>-978</v>
      </c>
      <c r="CG303" s="133">
        <f t="shared" si="3374"/>
        <v>-1063</v>
      </c>
      <c r="CH303" s="133">
        <f t="shared" si="3374"/>
        <v>-1148</v>
      </c>
      <c r="CI303" s="133">
        <f t="shared" si="3374"/>
        <v>-1233</v>
      </c>
      <c r="CJ303" s="133">
        <f t="shared" si="3374"/>
        <v>-1318</v>
      </c>
      <c r="CK303" s="133">
        <f t="shared" si="3374"/>
        <v>-1403</v>
      </c>
      <c r="CL303" s="133">
        <f t="shared" si="3374"/>
        <v>-1488</v>
      </c>
      <c r="CM303" s="133">
        <f t="shared" si="3374"/>
        <v>-1573</v>
      </c>
      <c r="CN303" s="133">
        <f t="shared" si="3374"/>
        <v>-1658</v>
      </c>
      <c r="CO303" s="133">
        <f t="shared" si="3374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75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 t="shared" si="3026"/>
        <v>0</v>
      </c>
      <c r="FS303" s="104" t="b">
        <f t="shared" si="3027"/>
        <v>0</v>
      </c>
      <c r="FT303" s="104" t="b">
        <f t="shared" si="3028"/>
        <v>0</v>
      </c>
      <c r="FU303" s="104" t="b">
        <f t="shared" si="3029"/>
        <v>0</v>
      </c>
      <c r="FV303" s="104" t="b">
        <f t="shared" si="3030"/>
        <v>1</v>
      </c>
      <c r="FW303" s="104" t="b">
        <f t="shared" si="3036"/>
        <v>0</v>
      </c>
      <c r="FX303" s="104" t="b">
        <f t="shared" ref="FX303:FX306" si="3376">EXACT(FQ303,BI303)</f>
        <v>1</v>
      </c>
      <c r="FY303" s="104" t="s">
        <v>182</v>
      </c>
      <c r="FZ303" s="104" t="b">
        <f t="shared" ref="FZ303:FZ306" si="3377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78">EXACT(GD303,C303)</f>
        <v>0</v>
      </c>
      <c r="GI303" s="108" t="b">
        <f t="shared" ref="GI303:GI306" si="3379">EXACT(GG303,G303)</f>
        <v>0</v>
      </c>
    </row>
    <row r="304" spans="1:192" ht="30" hidden="1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51"/>
        <v>меньше мин</v>
      </c>
      <c r="Q304" s="95">
        <v>476</v>
      </c>
      <c r="R304" s="95">
        <f t="shared" si="3352"/>
        <v>36618.68</v>
      </c>
      <c r="S304" s="114">
        <v>0</v>
      </c>
      <c r="T304" s="114">
        <v>0</v>
      </c>
      <c r="U304" s="131">
        <v>0</v>
      </c>
      <c r="V304" s="115">
        <f t="shared" si="3353"/>
        <v>476</v>
      </c>
      <c r="W304" s="115">
        <f t="shared" si="3354"/>
        <v>36618.68</v>
      </c>
      <c r="X304" s="115">
        <f t="shared" si="3355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56"/>
        <v>0</v>
      </c>
      <c r="AF304" s="95">
        <f t="shared" si="3357"/>
        <v>0</v>
      </c>
      <c r="AG304" s="114">
        <v>0</v>
      </c>
      <c r="AH304" s="95">
        <f t="shared" si="3358"/>
        <v>476</v>
      </c>
      <c r="AI304" s="114">
        <f t="shared" si="3359"/>
        <v>36618.68</v>
      </c>
      <c r="AJ304" s="133">
        <f t="shared" si="3360"/>
        <v>124</v>
      </c>
      <c r="AK304" s="133">
        <f t="shared" si="3361"/>
        <v>124</v>
      </c>
      <c r="AL304" s="133">
        <f t="shared" si="3362"/>
        <v>124</v>
      </c>
      <c r="AM304" s="133">
        <f t="shared" si="3363"/>
        <v>255</v>
      </c>
      <c r="AN304" s="133">
        <f t="shared" si="3364"/>
        <v>0</v>
      </c>
      <c r="AO304" s="133" t="str">
        <f t="shared" si="3365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66"/>
        <v>0-09</v>
      </c>
      <c r="AW304" s="117">
        <f t="shared" si="3367"/>
        <v>36618.68</v>
      </c>
      <c r="AX304" s="25">
        <f>MONTH(BC304)+6</f>
        <v>8</v>
      </c>
      <c r="AY304" s="115">
        <f t="shared" si="3368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69"/>
        <v>0</v>
      </c>
      <c r="BG304" s="32">
        <v>0</v>
      </c>
      <c r="BH304" s="32">
        <f t="shared" si="3370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71"/>
        <v>85</v>
      </c>
      <c r="BR304" s="95">
        <f t="shared" si="3372"/>
        <v>476</v>
      </c>
      <c r="BS304" s="133">
        <f t="shared" si="3373"/>
        <v>391</v>
      </c>
      <c r="BT304" s="133">
        <f t="shared" si="3373"/>
        <v>391</v>
      </c>
      <c r="BU304" s="133">
        <f t="shared" si="3373"/>
        <v>306</v>
      </c>
      <c r="BV304" s="133">
        <f t="shared" si="3373"/>
        <v>306</v>
      </c>
      <c r="BW304" s="133">
        <f t="shared" si="3373"/>
        <v>221</v>
      </c>
      <c r="BX304" s="133">
        <f t="shared" si="3374"/>
        <v>136</v>
      </c>
      <c r="BY304" s="133">
        <f t="shared" si="3374"/>
        <v>51</v>
      </c>
      <c r="BZ304" s="133">
        <f t="shared" si="3374"/>
        <v>-34</v>
      </c>
      <c r="CA304" s="133">
        <f t="shared" si="3374"/>
        <v>-119</v>
      </c>
      <c r="CB304" s="133">
        <f t="shared" si="3374"/>
        <v>-204</v>
      </c>
      <c r="CC304" s="133">
        <f t="shared" si="3374"/>
        <v>-289</v>
      </c>
      <c r="CD304" s="133">
        <f t="shared" si="3374"/>
        <v>-374</v>
      </c>
      <c r="CE304" s="133">
        <f t="shared" si="3374"/>
        <v>-459</v>
      </c>
      <c r="CF304" s="133">
        <f t="shared" si="3374"/>
        <v>-544</v>
      </c>
      <c r="CG304" s="133">
        <f t="shared" si="3374"/>
        <v>-629</v>
      </c>
      <c r="CH304" s="133">
        <f t="shared" si="3374"/>
        <v>-714</v>
      </c>
      <c r="CI304" s="133">
        <f t="shared" si="3374"/>
        <v>-799</v>
      </c>
      <c r="CJ304" s="133">
        <f t="shared" si="3374"/>
        <v>-884</v>
      </c>
      <c r="CK304" s="133">
        <f t="shared" si="3374"/>
        <v>-969</v>
      </c>
      <c r="CL304" s="133">
        <f t="shared" si="3374"/>
        <v>-1054</v>
      </c>
      <c r="CM304" s="133">
        <f t="shared" si="3374"/>
        <v>-1139</v>
      </c>
      <c r="CN304" s="133">
        <f t="shared" si="3374"/>
        <v>-1224</v>
      </c>
      <c r="CO304" s="133">
        <f t="shared" si="3374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75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80">BK304*$FH304</f>
        <v>0</v>
      </c>
      <c r="EQ304" s="62">
        <f t="shared" si="3380"/>
        <v>6539.05</v>
      </c>
      <c r="ER304" s="62">
        <f t="shared" si="3380"/>
        <v>0</v>
      </c>
      <c r="ES304" s="62">
        <f t="shared" si="3380"/>
        <v>6539.05</v>
      </c>
      <c r="ET304" s="62">
        <f t="shared" si="3380"/>
        <v>0</v>
      </c>
      <c r="EU304" s="62">
        <f t="shared" si="3380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 t="shared" si="3026"/>
        <v>0</v>
      </c>
      <c r="FS304" s="103" t="b">
        <f t="shared" si="3027"/>
        <v>0</v>
      </c>
      <c r="FT304" s="103" t="b">
        <f t="shared" si="3028"/>
        <v>0</v>
      </c>
      <c r="FU304" s="103" t="b">
        <f t="shared" si="3029"/>
        <v>0</v>
      </c>
      <c r="FV304" s="103" t="b">
        <f t="shared" si="3030"/>
        <v>1</v>
      </c>
      <c r="FW304" s="104" t="b">
        <f t="shared" si="3036"/>
        <v>0</v>
      </c>
      <c r="FX304" s="120" t="b">
        <f t="shared" si="3376"/>
        <v>1</v>
      </c>
      <c r="FY304" s="104" t="s">
        <v>182</v>
      </c>
      <c r="FZ304" s="104" t="b">
        <f t="shared" si="3377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78"/>
        <v>0</v>
      </c>
      <c r="GI304" s="8" t="b">
        <f t="shared" si="3379"/>
        <v>0</v>
      </c>
    </row>
    <row r="305" spans="1:192" ht="30" hidden="1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51"/>
        <v>нет минмакс</v>
      </c>
      <c r="Q305" s="95">
        <v>93</v>
      </c>
      <c r="R305" s="95">
        <f t="shared" si="3352"/>
        <v>14903.25</v>
      </c>
      <c r="S305" s="114">
        <v>0</v>
      </c>
      <c r="T305" s="114">
        <v>0</v>
      </c>
      <c r="U305" s="131">
        <v>0</v>
      </c>
      <c r="V305" s="115">
        <f t="shared" si="3353"/>
        <v>0</v>
      </c>
      <c r="W305" s="115">
        <f t="shared" si="3354"/>
        <v>0</v>
      </c>
      <c r="X305" s="115">
        <f t="shared" si="3355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56"/>
        <v>0</v>
      </c>
      <c r="AF305" s="95">
        <f t="shared" si="3357"/>
        <v>0</v>
      </c>
      <c r="AG305" s="114">
        <v>0</v>
      </c>
      <c r="AH305" s="95">
        <f t="shared" si="3358"/>
        <v>0</v>
      </c>
      <c r="AI305" s="114">
        <f t="shared" si="3359"/>
        <v>0</v>
      </c>
      <c r="AJ305" s="114">
        <f t="shared" si="3360"/>
        <v>0</v>
      </c>
      <c r="AK305" s="114">
        <f t="shared" si="3361"/>
        <v>0</v>
      </c>
      <c r="AL305" s="114">
        <f t="shared" si="3362"/>
        <v>0</v>
      </c>
      <c r="AM305" s="114">
        <f t="shared" si="3363"/>
        <v>0</v>
      </c>
      <c r="AN305" s="133" t="str">
        <f t="shared" si="3364"/>
        <v>нет оборота</v>
      </c>
      <c r="AO305" s="133" t="str">
        <f t="shared" si="3365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66"/>
        <v>нет остатка</v>
      </c>
      <c r="AW305" s="117">
        <f t="shared" si="3367"/>
        <v>0</v>
      </c>
      <c r="AX305" s="114"/>
      <c r="AY305" s="115">
        <f t="shared" si="3368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69"/>
        <v>0</v>
      </c>
      <c r="BG305" s="32">
        <v>0</v>
      </c>
      <c r="BH305" s="32">
        <f t="shared" si="3370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71"/>
        <v>0</v>
      </c>
      <c r="BR305" s="95">
        <f t="shared" si="3372"/>
        <v>0</v>
      </c>
      <c r="BS305" s="133">
        <f t="shared" si="3373"/>
        <v>0</v>
      </c>
      <c r="BT305" s="133">
        <f t="shared" si="3373"/>
        <v>0</v>
      </c>
      <c r="BU305" s="133">
        <f t="shared" si="3373"/>
        <v>0</v>
      </c>
      <c r="BV305" s="133">
        <f t="shared" si="3373"/>
        <v>0</v>
      </c>
      <c r="BW305" s="133">
        <f t="shared" si="3373"/>
        <v>0</v>
      </c>
      <c r="BX305" s="133">
        <f t="shared" ref="BX305:CO306" si="3381">BW305-$BQ305</f>
        <v>0</v>
      </c>
      <c r="BY305" s="133">
        <f t="shared" si="3381"/>
        <v>0</v>
      </c>
      <c r="BZ305" s="133">
        <f t="shared" si="3381"/>
        <v>0</v>
      </c>
      <c r="CA305" s="133">
        <f t="shared" si="3381"/>
        <v>0</v>
      </c>
      <c r="CB305" s="133">
        <f t="shared" si="3381"/>
        <v>0</v>
      </c>
      <c r="CC305" s="133">
        <f t="shared" si="3381"/>
        <v>0</v>
      </c>
      <c r="CD305" s="133">
        <f t="shared" si="3381"/>
        <v>0</v>
      </c>
      <c r="CE305" s="133">
        <f t="shared" si="3381"/>
        <v>0</v>
      </c>
      <c r="CF305" s="133">
        <f t="shared" si="3381"/>
        <v>0</v>
      </c>
      <c r="CG305" s="133">
        <f t="shared" si="3381"/>
        <v>0</v>
      </c>
      <c r="CH305" s="133">
        <f t="shared" si="3381"/>
        <v>0</v>
      </c>
      <c r="CI305" s="133">
        <f t="shared" si="3381"/>
        <v>0</v>
      </c>
      <c r="CJ305" s="133">
        <f t="shared" si="3381"/>
        <v>0</v>
      </c>
      <c r="CK305" s="133">
        <f t="shared" si="3381"/>
        <v>0</v>
      </c>
      <c r="CL305" s="133">
        <f t="shared" si="3381"/>
        <v>0</v>
      </c>
      <c r="CM305" s="133">
        <f t="shared" si="3381"/>
        <v>0</v>
      </c>
      <c r="CN305" s="133">
        <f t="shared" si="3381"/>
        <v>0</v>
      </c>
      <c r="CO305" s="133">
        <f t="shared" si="3381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75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82">BK305*$FH305</f>
        <v>0</v>
      </c>
      <c r="EQ305" s="62">
        <f t="shared" si="3382"/>
        <v>0</v>
      </c>
      <c r="ER305" s="62">
        <f t="shared" si="3382"/>
        <v>0</v>
      </c>
      <c r="ES305" s="62">
        <f t="shared" si="3382"/>
        <v>0</v>
      </c>
      <c r="ET305" s="62">
        <f t="shared" si="3382"/>
        <v>0</v>
      </c>
      <c r="EU305" s="62">
        <f t="shared" si="3382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 t="shared" si="3026"/>
        <v>1</v>
      </c>
      <c r="FS305" s="120" t="b">
        <f t="shared" si="3027"/>
        <v>1</v>
      </c>
      <c r="FT305" s="120" t="b">
        <f t="shared" si="3028"/>
        <v>0</v>
      </c>
      <c r="FU305" s="120" t="b">
        <f t="shared" si="3029"/>
        <v>0</v>
      </c>
      <c r="FV305" s="120" t="b">
        <f t="shared" si="3030"/>
        <v>1</v>
      </c>
      <c r="FW305" s="104" t="b">
        <f t="shared" si="3036"/>
        <v>0</v>
      </c>
      <c r="FX305" s="120" t="b">
        <f t="shared" si="3376"/>
        <v>1</v>
      </c>
      <c r="FY305" s="104" t="s">
        <v>368</v>
      </c>
      <c r="FZ305" s="104" t="b">
        <f t="shared" si="3377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78"/>
        <v>1</v>
      </c>
      <c r="GI305" s="8" t="b">
        <f t="shared" si="3379"/>
        <v>0</v>
      </c>
      <c r="GJ305" s="31" t="s">
        <v>203</v>
      </c>
    </row>
    <row r="306" spans="1:192" ht="30" hidden="1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51"/>
        <v>нет минмакс</v>
      </c>
      <c r="Q306" s="95">
        <v>484.15999984741211</v>
      </c>
      <c r="R306" s="95">
        <f t="shared" si="3352"/>
        <v>75804.931176109312</v>
      </c>
      <c r="S306" s="114">
        <v>0</v>
      </c>
      <c r="T306" s="114">
        <v>0</v>
      </c>
      <c r="U306" s="131">
        <v>0</v>
      </c>
      <c r="V306" s="115">
        <f t="shared" si="3353"/>
        <v>805.42398071289063</v>
      </c>
      <c r="W306" s="115">
        <f t="shared" si="3354"/>
        <v>126105.23266021728</v>
      </c>
      <c r="X306" s="115">
        <f t="shared" si="3355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56"/>
        <v>0</v>
      </c>
      <c r="AF306" s="95">
        <f t="shared" si="3357"/>
        <v>0</v>
      </c>
      <c r="AG306" s="114">
        <v>0</v>
      </c>
      <c r="AH306" s="95">
        <f t="shared" si="3358"/>
        <v>805.42398071289063</v>
      </c>
      <c r="AI306" s="114">
        <f t="shared" si="3359"/>
        <v>126105.23266021728</v>
      </c>
      <c r="AJ306" s="114">
        <f t="shared" si="3360"/>
        <v>338</v>
      </c>
      <c r="AK306" s="114">
        <f t="shared" si="3361"/>
        <v>1105</v>
      </c>
      <c r="AL306" s="114">
        <f t="shared" si="3362"/>
        <v>1369</v>
      </c>
      <c r="AM306" s="114">
        <f t="shared" si="3363"/>
        <v>0</v>
      </c>
      <c r="AN306" s="133" t="str">
        <f t="shared" si="3364"/>
        <v>нет оборота</v>
      </c>
      <c r="AO306" s="133" t="str">
        <f t="shared" si="3365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66"/>
        <v>Нет планов</v>
      </c>
      <c r="AW306" s="117">
        <f t="shared" si="3367"/>
        <v>126105.23266021728</v>
      </c>
      <c r="AX306" s="114"/>
      <c r="AY306" s="115">
        <f t="shared" si="3368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69"/>
        <v>0</v>
      </c>
      <c r="BG306" s="32">
        <v>0</v>
      </c>
      <c r="BH306" s="32">
        <f t="shared" si="3370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71"/>
        <v>0</v>
      </c>
      <c r="BR306" s="95">
        <f t="shared" si="3372"/>
        <v>805.42398071289063</v>
      </c>
      <c r="BS306" s="133">
        <f t="shared" si="3373"/>
        <v>805.42398071289063</v>
      </c>
      <c r="BT306" s="133">
        <f t="shared" si="3373"/>
        <v>805.42398071289063</v>
      </c>
      <c r="BU306" s="133">
        <f t="shared" si="3373"/>
        <v>805.42398071289063</v>
      </c>
      <c r="BV306" s="133">
        <f t="shared" si="3373"/>
        <v>805.42398071289063</v>
      </c>
      <c r="BW306" s="133">
        <f t="shared" si="3373"/>
        <v>805.42398071289063</v>
      </c>
      <c r="BX306" s="133">
        <f t="shared" si="3381"/>
        <v>805.42398071289063</v>
      </c>
      <c r="BY306" s="133">
        <f t="shared" si="3381"/>
        <v>805.42398071289063</v>
      </c>
      <c r="BZ306" s="133">
        <f t="shared" si="3381"/>
        <v>805.42398071289063</v>
      </c>
      <c r="CA306" s="133">
        <f t="shared" si="3381"/>
        <v>805.42398071289063</v>
      </c>
      <c r="CB306" s="133">
        <f t="shared" si="3381"/>
        <v>805.42398071289063</v>
      </c>
      <c r="CC306" s="133">
        <f t="shared" si="3381"/>
        <v>805.42398071289063</v>
      </c>
      <c r="CD306" s="133">
        <f t="shared" si="3381"/>
        <v>805.42398071289063</v>
      </c>
      <c r="CE306" s="133">
        <f t="shared" si="3381"/>
        <v>805.42398071289063</v>
      </c>
      <c r="CF306" s="133">
        <f t="shared" si="3381"/>
        <v>805.42398071289063</v>
      </c>
      <c r="CG306" s="133">
        <f t="shared" si="3381"/>
        <v>805.42398071289063</v>
      </c>
      <c r="CH306" s="133">
        <f t="shared" si="3381"/>
        <v>805.42398071289063</v>
      </c>
      <c r="CI306" s="133">
        <f t="shared" si="3381"/>
        <v>805.42398071289063</v>
      </c>
      <c r="CJ306" s="133">
        <f t="shared" si="3381"/>
        <v>805.42398071289063</v>
      </c>
      <c r="CK306" s="133">
        <f t="shared" si="3381"/>
        <v>805.42398071289063</v>
      </c>
      <c r="CL306" s="133">
        <f t="shared" si="3381"/>
        <v>805.42398071289063</v>
      </c>
      <c r="CM306" s="133">
        <f t="shared" si="3381"/>
        <v>805.42398071289063</v>
      </c>
      <c r="CN306" s="133">
        <f t="shared" si="3381"/>
        <v>805.42398071289063</v>
      </c>
      <c r="CO306" s="133">
        <f t="shared" si="3381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75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82"/>
        <v>0</v>
      </c>
      <c r="EQ306" s="62">
        <f t="shared" si="3382"/>
        <v>0</v>
      </c>
      <c r="ER306" s="62">
        <f t="shared" si="3382"/>
        <v>0</v>
      </c>
      <c r="ES306" s="62">
        <f t="shared" si="3382"/>
        <v>0</v>
      </c>
      <c r="ET306" s="62">
        <f t="shared" si="3382"/>
        <v>0</v>
      </c>
      <c r="EU306" s="62">
        <f t="shared" si="3382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 t="shared" si="3026"/>
        <v>1</v>
      </c>
      <c r="FS306" s="120" t="b">
        <f t="shared" si="3027"/>
        <v>1</v>
      </c>
      <c r="FT306" s="120" t="b">
        <f t="shared" si="3028"/>
        <v>0</v>
      </c>
      <c r="FU306" s="120" t="b">
        <f t="shared" si="3029"/>
        <v>0</v>
      </c>
      <c r="FV306" s="120" t="b">
        <f t="shared" si="3030"/>
        <v>1</v>
      </c>
      <c r="FW306" s="104" t="b">
        <f t="shared" si="3036"/>
        <v>0</v>
      </c>
      <c r="FX306" s="120" t="b">
        <f t="shared" si="3376"/>
        <v>1</v>
      </c>
      <c r="FY306" s="104" t="s">
        <v>368</v>
      </c>
      <c r="FZ306" s="104" t="b">
        <f t="shared" si="3377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78"/>
        <v>1</v>
      </c>
      <c r="GI306" s="8" t="b">
        <f t="shared" si="3379"/>
        <v>0</v>
      </c>
      <c r="GJ306" s="31" t="s">
        <v>203</v>
      </c>
    </row>
    <row r="307" spans="1:192" hidden="1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83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84">Q307*FH307</f>
        <v>12780</v>
      </c>
      <c r="S307" s="114">
        <v>0</v>
      </c>
      <c r="T307" s="114">
        <v>0</v>
      </c>
      <c r="U307" s="131">
        <v>0</v>
      </c>
      <c r="V307" s="115">
        <f t="shared" si="3353"/>
        <v>9000</v>
      </c>
      <c r="W307" s="115">
        <f t="shared" ref="W307:W308" si="3385">V307*FH307</f>
        <v>12780</v>
      </c>
      <c r="X307" s="115">
        <f t="shared" ref="X307:X308" si="3386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87">AA307*FH307</f>
        <v>0</v>
      </c>
      <c r="AF307" s="95">
        <f t="shared" ref="AF307:AF308" si="3388">AB307*FH307</f>
        <v>0</v>
      </c>
      <c r="AG307" s="114">
        <v>0</v>
      </c>
      <c r="AH307" s="95">
        <f t="shared" ref="AH307:AH308" si="3389">V307-AG307</f>
        <v>9000</v>
      </c>
      <c r="AI307" s="114">
        <f t="shared" ref="AI307:AI308" si="3390">IF(AH307&gt;0,AH307*FH307,0)</f>
        <v>12780</v>
      </c>
      <c r="AJ307" s="114">
        <f t="shared" ref="AJ307:AJ308" si="3391">CU307</f>
        <v>15000</v>
      </c>
      <c r="AK307" s="114">
        <f t="shared" si="3361"/>
        <v>16000</v>
      </c>
      <c r="AL307" s="114">
        <f t="shared" ref="AL307:AL308" si="3392">SUM(CP307:CU307)</f>
        <v>21000</v>
      </c>
      <c r="AM307" s="114">
        <f t="shared" ref="AM307:AM308" si="3393">SUM(BK307:BP307)</f>
        <v>10499</v>
      </c>
      <c r="AN307" s="133">
        <f t="shared" ref="AN307:AN308" si="3394">IFERROR(S307/BQ307*30,"нет оборота")</f>
        <v>0</v>
      </c>
      <c r="AO307" s="133" t="str">
        <f t="shared" ref="AO307:AO308" si="3395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96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97">IF(AT307="Да",W307,0)</f>
        <v>0</v>
      </c>
      <c r="AX307" s="114"/>
      <c r="AY307" s="115">
        <f t="shared" ref="AY307:AY308" si="3398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99">BE307*FH307</f>
        <v>0</v>
      </c>
      <c r="BG307" s="32">
        <v>0</v>
      </c>
      <c r="BH307" s="32">
        <f t="shared" ref="BH307:BH308" si="3400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401">IF(COUNTIF(BK307:BP307,"&gt;0")=0,0,SUM(BK307:BP307)/COUNTIF(BK307:BP307,"&gt;0"))</f>
        <v>2099.8000000000002</v>
      </c>
      <c r="BR307" s="95">
        <f t="shared" ref="BR307:BR308" si="3402">IF(OR(Q307=0,SUM(BK307:BP307)=0,V307&gt;Q307),V307-BK307,Q307-BK307)</f>
        <v>9000</v>
      </c>
      <c r="BS307" s="133">
        <f t="shared" si="3373"/>
        <v>7810</v>
      </c>
      <c r="BT307" s="133">
        <f t="shared" si="3373"/>
        <v>4795</v>
      </c>
      <c r="BU307" s="133">
        <f t="shared" si="3373"/>
        <v>1449</v>
      </c>
      <c r="BV307" s="133">
        <f t="shared" si="3373"/>
        <v>-357</v>
      </c>
      <c r="BW307" s="133">
        <f t="shared" si="3373"/>
        <v>-1499</v>
      </c>
      <c r="BX307" s="133">
        <f t="shared" ref="BX307:CO307" si="3403">BW307-$BQ307</f>
        <v>-3598.8</v>
      </c>
      <c r="BY307" s="133">
        <f t="shared" si="3403"/>
        <v>-5698.6</v>
      </c>
      <c r="BZ307" s="133">
        <f t="shared" si="3403"/>
        <v>-7798.4000000000005</v>
      </c>
      <c r="CA307" s="133">
        <f t="shared" si="3403"/>
        <v>-9898.2000000000007</v>
      </c>
      <c r="CB307" s="133">
        <f t="shared" si="3403"/>
        <v>-11998</v>
      </c>
      <c r="CC307" s="133">
        <f t="shared" si="3403"/>
        <v>-14097.8</v>
      </c>
      <c r="CD307" s="133">
        <f t="shared" si="3403"/>
        <v>-16197.599999999999</v>
      </c>
      <c r="CE307" s="133">
        <f t="shared" si="3403"/>
        <v>-18297.399999999998</v>
      </c>
      <c r="CF307" s="133">
        <f t="shared" si="3403"/>
        <v>-20397.199999999997</v>
      </c>
      <c r="CG307" s="133">
        <f t="shared" si="3403"/>
        <v>-22496.999999999996</v>
      </c>
      <c r="CH307" s="133">
        <f t="shared" si="3403"/>
        <v>-24596.799999999996</v>
      </c>
      <c r="CI307" s="133">
        <f t="shared" si="3403"/>
        <v>-26696.599999999995</v>
      </c>
      <c r="CJ307" s="133">
        <f t="shared" si="3403"/>
        <v>-28796.399999999994</v>
      </c>
      <c r="CK307" s="133">
        <f t="shared" si="3403"/>
        <v>-30896.199999999993</v>
      </c>
      <c r="CL307" s="133">
        <f t="shared" si="3403"/>
        <v>-32995.999999999993</v>
      </c>
      <c r="CM307" s="133">
        <f t="shared" si="3403"/>
        <v>-35095.799999999996</v>
      </c>
      <c r="CN307" s="133">
        <f t="shared" si="3403"/>
        <v>-37195.599999999999</v>
      </c>
      <c r="CO307" s="133">
        <f t="shared" si="3403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404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82"/>
        <v>0</v>
      </c>
      <c r="EQ307" s="62">
        <f t="shared" si="3382"/>
        <v>1689.8</v>
      </c>
      <c r="ER307" s="62">
        <f t="shared" si="3382"/>
        <v>4281.3</v>
      </c>
      <c r="ES307" s="62">
        <f t="shared" si="3382"/>
        <v>4751.32</v>
      </c>
      <c r="ET307" s="62">
        <f t="shared" si="3382"/>
        <v>2564.52</v>
      </c>
      <c r="EU307" s="62">
        <f t="shared" si="3382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 t="shared" si="3026"/>
        <v>0</v>
      </c>
      <c r="FS307" s="120" t="b">
        <f t="shared" si="3027"/>
        <v>0</v>
      </c>
      <c r="FT307" s="120" t="b">
        <f t="shared" si="3028"/>
        <v>0</v>
      </c>
      <c r="FU307" s="120" t="b">
        <f t="shared" si="3029"/>
        <v>0</v>
      </c>
      <c r="FV307" s="120" t="b">
        <f t="shared" si="3030"/>
        <v>1</v>
      </c>
      <c r="FW307" s="104" t="b">
        <f t="shared" si="3036"/>
        <v>0</v>
      </c>
      <c r="FX307" s="120" t="b">
        <f t="shared" ref="FX307:FX308" si="3405">EXACT(FQ307,BI307)</f>
        <v>1</v>
      </c>
      <c r="FY307" s="104" t="s">
        <v>368</v>
      </c>
      <c r="FZ307" s="104" t="b">
        <f t="shared" ref="FZ307:FZ308" si="3406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407">EXACT(GD307,C307)</f>
        <v>1</v>
      </c>
      <c r="GI307" s="8" t="b">
        <f t="shared" ref="GI307:GI308" si="3408">EXACT(GG307,G307)</f>
        <v>0</v>
      </c>
      <c r="GJ307" s="31" t="s">
        <v>203</v>
      </c>
    </row>
    <row r="308" spans="1:192" hidden="1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83"/>
        <v>нет минмакс</v>
      </c>
      <c r="Q308" s="95">
        <v>1161.5180053710938</v>
      </c>
      <c r="R308" s="95">
        <f t="shared" si="3384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409">SUM(Z308:AD308)</f>
        <v>2212</v>
      </c>
      <c r="W308" s="115">
        <f t="shared" si="3385"/>
        <v>848302</v>
      </c>
      <c r="X308" s="115">
        <f t="shared" si="3386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87"/>
        <v>0</v>
      </c>
      <c r="AF308" s="95">
        <f t="shared" si="3388"/>
        <v>0</v>
      </c>
      <c r="AG308" s="114">
        <v>0</v>
      </c>
      <c r="AH308" s="95">
        <f t="shared" si="3389"/>
        <v>2212</v>
      </c>
      <c r="AI308" s="114">
        <f t="shared" si="3390"/>
        <v>848302</v>
      </c>
      <c r="AJ308" s="133">
        <f t="shared" si="3391"/>
        <v>1036</v>
      </c>
      <c r="AK308" s="133">
        <f t="shared" ref="AK308:AK309" si="3410">SUM(CS308:CU308)</f>
        <v>1444</v>
      </c>
      <c r="AL308" s="133">
        <f t="shared" si="3392"/>
        <v>1444</v>
      </c>
      <c r="AM308" s="133">
        <f t="shared" si="3393"/>
        <v>0</v>
      </c>
      <c r="AN308" s="133" t="str">
        <f t="shared" si="3394"/>
        <v>нет оборота</v>
      </c>
      <c r="AO308" s="133" t="str">
        <f t="shared" si="3395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96"/>
        <v>Нет планов</v>
      </c>
      <c r="AW308" s="117">
        <f t="shared" si="3397"/>
        <v>848302</v>
      </c>
      <c r="AX308" s="114"/>
      <c r="AY308" s="115">
        <f t="shared" si="3398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99"/>
        <v>0</v>
      </c>
      <c r="BG308" s="32">
        <v>0</v>
      </c>
      <c r="BH308" s="32">
        <f t="shared" si="3400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401"/>
        <v>0</v>
      </c>
      <c r="BR308" s="95">
        <f t="shared" si="3402"/>
        <v>2212</v>
      </c>
      <c r="BS308" s="133">
        <f t="shared" ref="BS308:BW308" si="3411">BR308-BL308</f>
        <v>2212</v>
      </c>
      <c r="BT308" s="133">
        <f t="shared" si="3411"/>
        <v>2212</v>
      </c>
      <c r="BU308" s="133">
        <f t="shared" si="3411"/>
        <v>2212</v>
      </c>
      <c r="BV308" s="133">
        <f t="shared" si="3411"/>
        <v>2212</v>
      </c>
      <c r="BW308" s="133">
        <f t="shared" si="3411"/>
        <v>2212</v>
      </c>
      <c r="BX308" s="133">
        <f t="shared" ref="BX308:CO308" si="3412">BW308-$BQ308</f>
        <v>2212</v>
      </c>
      <c r="BY308" s="133">
        <f t="shared" si="3412"/>
        <v>2212</v>
      </c>
      <c r="BZ308" s="133">
        <f t="shared" si="3412"/>
        <v>2212</v>
      </c>
      <c r="CA308" s="133">
        <f t="shared" si="3412"/>
        <v>2212</v>
      </c>
      <c r="CB308" s="133">
        <f t="shared" si="3412"/>
        <v>2212</v>
      </c>
      <c r="CC308" s="133">
        <f t="shared" si="3412"/>
        <v>2212</v>
      </c>
      <c r="CD308" s="133">
        <f t="shared" si="3412"/>
        <v>2212</v>
      </c>
      <c r="CE308" s="133">
        <f t="shared" si="3412"/>
        <v>2212</v>
      </c>
      <c r="CF308" s="133">
        <f t="shared" si="3412"/>
        <v>2212</v>
      </c>
      <c r="CG308" s="133">
        <f t="shared" si="3412"/>
        <v>2212</v>
      </c>
      <c r="CH308" s="133">
        <f t="shared" si="3412"/>
        <v>2212</v>
      </c>
      <c r="CI308" s="133">
        <f t="shared" si="3412"/>
        <v>2212</v>
      </c>
      <c r="CJ308" s="133">
        <f t="shared" si="3412"/>
        <v>2212</v>
      </c>
      <c r="CK308" s="133">
        <f t="shared" si="3412"/>
        <v>2212</v>
      </c>
      <c r="CL308" s="133">
        <f t="shared" si="3412"/>
        <v>2212</v>
      </c>
      <c r="CM308" s="133">
        <f t="shared" si="3412"/>
        <v>2212</v>
      </c>
      <c r="CN308" s="133">
        <f t="shared" si="3412"/>
        <v>2212</v>
      </c>
      <c r="CO308" s="133">
        <f t="shared" si="3412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413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414">BK308*$FH308</f>
        <v>0</v>
      </c>
      <c r="EQ308" s="62">
        <f t="shared" si="3414"/>
        <v>0</v>
      </c>
      <c r="ER308" s="62">
        <f t="shared" si="3414"/>
        <v>0</v>
      </c>
      <c r="ES308" s="62">
        <f t="shared" si="3414"/>
        <v>0</v>
      </c>
      <c r="ET308" s="62">
        <f t="shared" si="3414"/>
        <v>0</v>
      </c>
      <c r="EU308" s="62">
        <f t="shared" si="3414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 t="shared" si="3026"/>
        <v>1</v>
      </c>
      <c r="FS308" s="103" t="b">
        <f t="shared" si="3027"/>
        <v>1</v>
      </c>
      <c r="FT308" s="103" t="b">
        <f t="shared" si="3028"/>
        <v>0</v>
      </c>
      <c r="FU308" s="103" t="b">
        <f t="shared" si="3029"/>
        <v>0</v>
      </c>
      <c r="FV308" s="103" t="b">
        <f t="shared" si="3030"/>
        <v>1</v>
      </c>
      <c r="FW308" s="104" t="b">
        <f t="shared" si="3036"/>
        <v>0</v>
      </c>
      <c r="FX308" s="120" t="b">
        <f t="shared" si="3405"/>
        <v>1</v>
      </c>
      <c r="FY308" s="104" t="s">
        <v>368</v>
      </c>
      <c r="FZ308" s="104" t="b">
        <f t="shared" si="3406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407"/>
        <v>1</v>
      </c>
      <c r="GI308" s="8" t="b">
        <f t="shared" si="3408"/>
        <v>0</v>
      </c>
      <c r="GJ308" s="31" t="s">
        <v>203</v>
      </c>
    </row>
    <row r="309" spans="1:192" ht="30" hidden="1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415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416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409"/>
        <v>1421</v>
      </c>
      <c r="W309" s="115">
        <f t="shared" ref="W309:W319" si="3417">V309*FH309</f>
        <v>215039.93000000002</v>
      </c>
      <c r="X309" s="115">
        <f t="shared" ref="X309:X319" si="3418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419">AA309*FH309</f>
        <v>0</v>
      </c>
      <c r="AF309" s="95">
        <f t="shared" ref="AF309:AF319" si="3420">AB309*FH309</f>
        <v>0</v>
      </c>
      <c r="AG309" s="114">
        <v>0</v>
      </c>
      <c r="AH309" s="95">
        <f t="shared" ref="AH309:AH319" si="3421">V309-AG309</f>
        <v>1421</v>
      </c>
      <c r="AI309" s="114">
        <f t="shared" ref="AI309:AI319" si="3422">IF(AH309&gt;0,AH309*FH309,0)</f>
        <v>215039.93000000002</v>
      </c>
      <c r="AJ309" s="114">
        <f t="shared" ref="AJ309:AJ319" si="3423">CU309</f>
        <v>1935</v>
      </c>
      <c r="AK309" s="114">
        <f t="shared" si="3410"/>
        <v>1935</v>
      </c>
      <c r="AL309" s="114">
        <f t="shared" ref="AL309:AL319" si="3424">SUM(CP309:CU309)</f>
        <v>1935</v>
      </c>
      <c r="AM309" s="114">
        <f t="shared" ref="AM309:AM319" si="3425">SUM(BK309:BP309)</f>
        <v>0</v>
      </c>
      <c r="AN309" s="133" t="str">
        <f t="shared" ref="AN309:AN319" si="3426">IFERROR(S309/BQ309*30,"нет оборота")</f>
        <v>нет оборота</v>
      </c>
      <c r="AO309" s="133" t="str">
        <f t="shared" ref="AO309:AO319" si="3427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428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429">IF(AT309="Да",W309,0)</f>
        <v>215039.93000000002</v>
      </c>
      <c r="AX309" s="114"/>
      <c r="AY309" s="115">
        <f t="shared" ref="AY309:AY319" si="3430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31">BE309*FH309</f>
        <v>0</v>
      </c>
      <c r="BG309" s="32">
        <v>0</v>
      </c>
      <c r="BH309" s="32">
        <f t="shared" ref="BH309:BH319" si="3432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33">IF(COUNTIF(BK309:BP309,"&gt;0")=0,0,SUM(BK309:BP309)/COUNTIF(BK309:BP309,"&gt;0"))</f>
        <v>0</v>
      </c>
      <c r="BR309" s="95">
        <f t="shared" ref="BR309:BR319" si="3434">IF(OR(Q309=0,SUM(BK309:BP309)=0,V309&gt;Q309),V309-BK309,Q309-BK309)</f>
        <v>1421</v>
      </c>
      <c r="BS309" s="133">
        <f t="shared" ref="BS309:BW313" si="3435">BR309-BL309</f>
        <v>1421</v>
      </c>
      <c r="BT309" s="133">
        <f t="shared" si="3435"/>
        <v>1421</v>
      </c>
      <c r="BU309" s="133">
        <f t="shared" si="3435"/>
        <v>1421</v>
      </c>
      <c r="BV309" s="133">
        <f t="shared" si="3435"/>
        <v>1421</v>
      </c>
      <c r="BW309" s="133">
        <f t="shared" si="3435"/>
        <v>1421</v>
      </c>
      <c r="BX309" s="133">
        <f t="shared" ref="BX309:CO309" si="3436">BW309-$BQ309</f>
        <v>1421</v>
      </c>
      <c r="BY309" s="133">
        <f t="shared" si="3436"/>
        <v>1421</v>
      </c>
      <c r="BZ309" s="133">
        <f t="shared" si="3436"/>
        <v>1421</v>
      </c>
      <c r="CA309" s="133">
        <f t="shared" si="3436"/>
        <v>1421</v>
      </c>
      <c r="CB309" s="133">
        <f t="shared" si="3436"/>
        <v>1421</v>
      </c>
      <c r="CC309" s="133">
        <f t="shared" si="3436"/>
        <v>1421</v>
      </c>
      <c r="CD309" s="133">
        <f t="shared" si="3436"/>
        <v>1421</v>
      </c>
      <c r="CE309" s="133">
        <f t="shared" si="3436"/>
        <v>1421</v>
      </c>
      <c r="CF309" s="133">
        <f t="shared" si="3436"/>
        <v>1421</v>
      </c>
      <c r="CG309" s="133">
        <f t="shared" si="3436"/>
        <v>1421</v>
      </c>
      <c r="CH309" s="133">
        <f t="shared" si="3436"/>
        <v>1421</v>
      </c>
      <c r="CI309" s="133">
        <f t="shared" si="3436"/>
        <v>1421</v>
      </c>
      <c r="CJ309" s="133">
        <f t="shared" si="3436"/>
        <v>1421</v>
      </c>
      <c r="CK309" s="133">
        <f t="shared" si="3436"/>
        <v>1421</v>
      </c>
      <c r="CL309" s="133">
        <f t="shared" si="3436"/>
        <v>1421</v>
      </c>
      <c r="CM309" s="133">
        <f t="shared" si="3436"/>
        <v>1421</v>
      </c>
      <c r="CN309" s="133">
        <f t="shared" si="3436"/>
        <v>1421</v>
      </c>
      <c r="CO309" s="133">
        <f t="shared" si="3436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413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37">BK309*$FH309</f>
        <v>0</v>
      </c>
      <c r="EQ309" s="62">
        <f t="shared" si="3437"/>
        <v>0</v>
      </c>
      <c r="ER309" s="62">
        <f t="shared" si="3437"/>
        <v>0</v>
      </c>
      <c r="ES309" s="62">
        <f t="shared" si="3437"/>
        <v>0</v>
      </c>
      <c r="ET309" s="62">
        <f t="shared" si="3437"/>
        <v>0</v>
      </c>
      <c r="EU309" s="62">
        <f t="shared" si="3437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 t="shared" si="3026"/>
        <v>1</v>
      </c>
      <c r="FS309" s="120" t="b">
        <f t="shared" si="3027"/>
        <v>1</v>
      </c>
      <c r="FT309" s="120" t="b">
        <f t="shared" si="3028"/>
        <v>0</v>
      </c>
      <c r="FU309" s="120" t="b">
        <f t="shared" si="3029"/>
        <v>0</v>
      </c>
      <c r="FV309" s="120" t="b">
        <f t="shared" si="3030"/>
        <v>1</v>
      </c>
      <c r="FW309" s="104" t="b">
        <f t="shared" si="3036"/>
        <v>0</v>
      </c>
      <c r="FX309" s="120" t="b">
        <f t="shared" ref="FX309:FX319" si="3438">EXACT(FQ309,BI309)</f>
        <v>1</v>
      </c>
      <c r="FY309" s="104" t="s">
        <v>368</v>
      </c>
      <c r="FZ309" s="104" t="b">
        <f t="shared" ref="FZ309:FZ319" si="3439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40">EXACT(GD309,C309)</f>
        <v>1</v>
      </c>
      <c r="GI309" s="8" t="b">
        <f t="shared" ref="GI309:GI319" si="3441">EXACT(GG309,G309)</f>
        <v>0</v>
      </c>
      <c r="GJ309" s="31" t="s">
        <v>203</v>
      </c>
    </row>
    <row r="310" spans="1:192" hidden="1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415"/>
        <v>нет минмакс</v>
      </c>
      <c r="Q310" s="95">
        <v>89284</v>
      </c>
      <c r="R310" s="95">
        <f t="shared" si="3416"/>
        <v>65177.32</v>
      </c>
      <c r="S310" s="114">
        <v>0</v>
      </c>
      <c r="T310" s="114">
        <v>0</v>
      </c>
      <c r="U310" s="131">
        <v>0</v>
      </c>
      <c r="V310" s="115">
        <f t="shared" ref="V310:V319" si="3442">SUM(Z310:AD310)</f>
        <v>110297</v>
      </c>
      <c r="W310" s="115">
        <f t="shared" si="3417"/>
        <v>80516.81</v>
      </c>
      <c r="X310" s="115">
        <f t="shared" si="3418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419"/>
        <v>0</v>
      </c>
      <c r="AF310" s="95">
        <f t="shared" si="3420"/>
        <v>0</v>
      </c>
      <c r="AG310" s="114">
        <v>0</v>
      </c>
      <c r="AH310" s="95">
        <f t="shared" si="3421"/>
        <v>110297</v>
      </c>
      <c r="AI310" s="114">
        <f t="shared" si="3422"/>
        <v>80516.81</v>
      </c>
      <c r="AJ310" s="133">
        <f t="shared" si="3423"/>
        <v>143</v>
      </c>
      <c r="AK310" s="133">
        <f t="shared" ref="AK310:AK319" si="3443">SUM(CS310:CU310)</f>
        <v>143</v>
      </c>
      <c r="AL310" s="133">
        <f t="shared" si="3424"/>
        <v>143</v>
      </c>
      <c r="AM310" s="133">
        <f t="shared" si="3425"/>
        <v>0</v>
      </c>
      <c r="AN310" s="133" t="str">
        <f t="shared" si="3426"/>
        <v>нет оборота</v>
      </c>
      <c r="AO310" s="133" t="str">
        <f t="shared" si="3427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428"/>
        <v>Нет планов</v>
      </c>
      <c r="AW310" s="117">
        <f t="shared" si="3429"/>
        <v>80516.81</v>
      </c>
      <c r="AX310" s="114"/>
      <c r="AY310" s="115">
        <f t="shared" si="3430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31"/>
        <v>0</v>
      </c>
      <c r="BG310" s="32">
        <v>0</v>
      </c>
      <c r="BH310" s="32">
        <f t="shared" si="3432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33"/>
        <v>0</v>
      </c>
      <c r="BR310" s="95">
        <f t="shared" si="3434"/>
        <v>110297</v>
      </c>
      <c r="BS310" s="133">
        <f t="shared" si="3435"/>
        <v>110297</v>
      </c>
      <c r="BT310" s="133">
        <f t="shared" si="3435"/>
        <v>110297</v>
      </c>
      <c r="BU310" s="133">
        <f t="shared" si="3435"/>
        <v>110297</v>
      </c>
      <c r="BV310" s="133">
        <f t="shared" si="3435"/>
        <v>110297</v>
      </c>
      <c r="BW310" s="133">
        <f t="shared" si="3435"/>
        <v>110297</v>
      </c>
      <c r="BX310" s="133">
        <f t="shared" ref="BX310:CO313" si="3444">BW310-$BQ310</f>
        <v>110297</v>
      </c>
      <c r="BY310" s="133">
        <f t="shared" si="3444"/>
        <v>110297</v>
      </c>
      <c r="BZ310" s="133">
        <f t="shared" si="3444"/>
        <v>110297</v>
      </c>
      <c r="CA310" s="133">
        <f t="shared" si="3444"/>
        <v>110297</v>
      </c>
      <c r="CB310" s="133">
        <f t="shared" si="3444"/>
        <v>110297</v>
      </c>
      <c r="CC310" s="133">
        <f t="shared" si="3444"/>
        <v>110297</v>
      </c>
      <c r="CD310" s="133">
        <f t="shared" si="3444"/>
        <v>110297</v>
      </c>
      <c r="CE310" s="133">
        <f t="shared" si="3444"/>
        <v>110297</v>
      </c>
      <c r="CF310" s="133">
        <f t="shared" si="3444"/>
        <v>110297</v>
      </c>
      <c r="CG310" s="133">
        <f t="shared" si="3444"/>
        <v>110297</v>
      </c>
      <c r="CH310" s="133">
        <f t="shared" si="3444"/>
        <v>110297</v>
      </c>
      <c r="CI310" s="133">
        <f t="shared" si="3444"/>
        <v>110297</v>
      </c>
      <c r="CJ310" s="133">
        <f t="shared" si="3444"/>
        <v>110297</v>
      </c>
      <c r="CK310" s="133">
        <f t="shared" si="3444"/>
        <v>110297</v>
      </c>
      <c r="CL310" s="133">
        <f t="shared" si="3444"/>
        <v>110297</v>
      </c>
      <c r="CM310" s="133">
        <f t="shared" si="3444"/>
        <v>110297</v>
      </c>
      <c r="CN310" s="133">
        <f t="shared" si="3444"/>
        <v>110297</v>
      </c>
      <c r="CO310" s="133">
        <f t="shared" si="3444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413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37"/>
        <v>0</v>
      </c>
      <c r="EQ310" s="62">
        <f t="shared" si="3437"/>
        <v>0</v>
      </c>
      <c r="ER310" s="62">
        <f t="shared" si="3437"/>
        <v>0</v>
      </c>
      <c r="ES310" s="62">
        <f t="shared" si="3437"/>
        <v>0</v>
      </c>
      <c r="ET310" s="62">
        <f t="shared" si="3437"/>
        <v>0</v>
      </c>
      <c r="EU310" s="62">
        <f t="shared" si="3437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 t="shared" si="3026"/>
        <v>1</v>
      </c>
      <c r="FS310" s="103" t="b">
        <f t="shared" si="3027"/>
        <v>1</v>
      </c>
      <c r="FT310" s="103" t="b">
        <f t="shared" si="3028"/>
        <v>0</v>
      </c>
      <c r="FU310" s="103" t="b">
        <f t="shared" si="3029"/>
        <v>0</v>
      </c>
      <c r="FV310" s="103" t="b">
        <f t="shared" si="3030"/>
        <v>1</v>
      </c>
      <c r="FW310" s="104" t="b">
        <f t="shared" si="3036"/>
        <v>0</v>
      </c>
      <c r="FX310" s="120" t="b">
        <f t="shared" si="3438"/>
        <v>1</v>
      </c>
      <c r="FY310" s="104" t="s">
        <v>368</v>
      </c>
      <c r="FZ310" s="104" t="b">
        <f t="shared" si="3439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40"/>
        <v>1</v>
      </c>
      <c r="GI310" s="8" t="b">
        <f t="shared" si="3441"/>
        <v>0</v>
      </c>
      <c r="GJ310" s="31" t="s">
        <v>203</v>
      </c>
    </row>
    <row r="311" spans="1:192" hidden="1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415"/>
        <v>нет минмакс</v>
      </c>
      <c r="Q311" s="95">
        <v>105274</v>
      </c>
      <c r="R311" s="95">
        <f t="shared" si="3416"/>
        <v>1052.74</v>
      </c>
      <c r="S311" s="114">
        <v>0</v>
      </c>
      <c r="T311" s="114">
        <v>0</v>
      </c>
      <c r="U311" s="131">
        <v>0</v>
      </c>
      <c r="V311" s="115">
        <f t="shared" si="3442"/>
        <v>93756</v>
      </c>
      <c r="W311" s="115">
        <f t="shared" si="3417"/>
        <v>937.56000000000006</v>
      </c>
      <c r="X311" s="115">
        <f t="shared" si="3418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419"/>
        <v>0</v>
      </c>
      <c r="AF311" s="95">
        <f t="shared" si="3420"/>
        <v>0.54</v>
      </c>
      <c r="AG311" s="114">
        <v>0</v>
      </c>
      <c r="AH311" s="95">
        <f t="shared" si="3421"/>
        <v>93756</v>
      </c>
      <c r="AI311" s="114">
        <f t="shared" si="3422"/>
        <v>937.56000000000006</v>
      </c>
      <c r="AJ311" s="133">
        <f t="shared" si="3423"/>
        <v>210</v>
      </c>
      <c r="AK311" s="133">
        <f t="shared" si="3443"/>
        <v>456</v>
      </c>
      <c r="AL311" s="133">
        <f t="shared" si="3424"/>
        <v>456</v>
      </c>
      <c r="AM311" s="133">
        <f t="shared" si="3425"/>
        <v>0</v>
      </c>
      <c r="AN311" s="133" t="str">
        <f t="shared" si="3426"/>
        <v>нет оборота</v>
      </c>
      <c r="AO311" s="133" t="str">
        <f t="shared" si="3427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428"/>
        <v>Нет планов</v>
      </c>
      <c r="AW311" s="117">
        <f t="shared" si="3429"/>
        <v>937.56000000000006</v>
      </c>
      <c r="AX311" s="114"/>
      <c r="AY311" s="115">
        <f t="shared" si="3430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31"/>
        <v>0</v>
      </c>
      <c r="BG311" s="32">
        <v>0</v>
      </c>
      <c r="BH311" s="32">
        <f t="shared" si="3432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33"/>
        <v>0</v>
      </c>
      <c r="BR311" s="95">
        <f t="shared" si="3434"/>
        <v>93756</v>
      </c>
      <c r="BS311" s="133">
        <f t="shared" si="3435"/>
        <v>93756</v>
      </c>
      <c r="BT311" s="133">
        <f t="shared" si="3435"/>
        <v>93756</v>
      </c>
      <c r="BU311" s="133">
        <f t="shared" si="3435"/>
        <v>93756</v>
      </c>
      <c r="BV311" s="133">
        <f t="shared" si="3435"/>
        <v>93756</v>
      </c>
      <c r="BW311" s="133">
        <f t="shared" si="3435"/>
        <v>93756</v>
      </c>
      <c r="BX311" s="133">
        <f t="shared" si="3444"/>
        <v>93756</v>
      </c>
      <c r="BY311" s="133">
        <f t="shared" si="3444"/>
        <v>93756</v>
      </c>
      <c r="BZ311" s="133">
        <f t="shared" si="3444"/>
        <v>93756</v>
      </c>
      <c r="CA311" s="133">
        <f t="shared" si="3444"/>
        <v>93756</v>
      </c>
      <c r="CB311" s="133">
        <f t="shared" si="3444"/>
        <v>93756</v>
      </c>
      <c r="CC311" s="133">
        <f t="shared" si="3444"/>
        <v>93756</v>
      </c>
      <c r="CD311" s="133">
        <f t="shared" si="3444"/>
        <v>93756</v>
      </c>
      <c r="CE311" s="133">
        <f t="shared" si="3444"/>
        <v>93756</v>
      </c>
      <c r="CF311" s="133">
        <f t="shared" si="3444"/>
        <v>93756</v>
      </c>
      <c r="CG311" s="133">
        <f t="shared" si="3444"/>
        <v>93756</v>
      </c>
      <c r="CH311" s="133">
        <f t="shared" si="3444"/>
        <v>93756</v>
      </c>
      <c r="CI311" s="133">
        <f t="shared" si="3444"/>
        <v>93756</v>
      </c>
      <c r="CJ311" s="133">
        <f t="shared" si="3444"/>
        <v>93756</v>
      </c>
      <c r="CK311" s="133">
        <f t="shared" si="3444"/>
        <v>93756</v>
      </c>
      <c r="CL311" s="133">
        <f t="shared" si="3444"/>
        <v>93756</v>
      </c>
      <c r="CM311" s="133">
        <f t="shared" si="3444"/>
        <v>93756</v>
      </c>
      <c r="CN311" s="133">
        <f t="shared" si="3444"/>
        <v>93756</v>
      </c>
      <c r="CO311" s="133">
        <f t="shared" si="3444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413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37"/>
        <v>0</v>
      </c>
      <c r="EQ311" s="62">
        <f t="shared" si="3437"/>
        <v>0</v>
      </c>
      <c r="ER311" s="62">
        <f t="shared" si="3437"/>
        <v>0</v>
      </c>
      <c r="ES311" s="62">
        <f t="shared" si="3437"/>
        <v>0</v>
      </c>
      <c r="ET311" s="62">
        <f t="shared" si="3437"/>
        <v>0</v>
      </c>
      <c r="EU311" s="62">
        <f t="shared" si="3437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 t="shared" si="3026"/>
        <v>1</v>
      </c>
      <c r="FS311" s="103" t="b">
        <f t="shared" si="3027"/>
        <v>1</v>
      </c>
      <c r="FT311" s="103" t="b">
        <f t="shared" si="3028"/>
        <v>0</v>
      </c>
      <c r="FU311" s="103" t="b">
        <f t="shared" si="3029"/>
        <v>0</v>
      </c>
      <c r="FV311" s="103" t="b">
        <f t="shared" si="3030"/>
        <v>1</v>
      </c>
      <c r="FW311" s="104" t="b">
        <f t="shared" si="3036"/>
        <v>0</v>
      </c>
      <c r="FX311" s="120" t="b">
        <f t="shared" si="3438"/>
        <v>1</v>
      </c>
      <c r="FY311" s="104" t="s">
        <v>368</v>
      </c>
      <c r="FZ311" s="104" t="b">
        <f t="shared" si="3439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40"/>
        <v>1</v>
      </c>
      <c r="GI311" s="8" t="b">
        <f t="shared" si="3441"/>
        <v>0</v>
      </c>
      <c r="GJ311" s="31" t="s">
        <v>203</v>
      </c>
    </row>
    <row r="312" spans="1:192" hidden="1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415"/>
        <v>нет минмакс</v>
      </c>
      <c r="Q312" s="95">
        <v>1375</v>
      </c>
      <c r="R312" s="95">
        <f t="shared" si="3416"/>
        <v>189062.5</v>
      </c>
      <c r="S312" s="114">
        <v>0</v>
      </c>
      <c r="T312" s="114">
        <v>0</v>
      </c>
      <c r="U312" s="131">
        <v>0</v>
      </c>
      <c r="V312" s="115">
        <f t="shared" si="3442"/>
        <v>1375</v>
      </c>
      <c r="W312" s="115">
        <f t="shared" si="3417"/>
        <v>189062.5</v>
      </c>
      <c r="X312" s="115">
        <f t="shared" si="3418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419"/>
        <v>0</v>
      </c>
      <c r="AF312" s="95">
        <f t="shared" si="3420"/>
        <v>0</v>
      </c>
      <c r="AG312" s="114">
        <v>0</v>
      </c>
      <c r="AH312" s="95">
        <f t="shared" si="3421"/>
        <v>1375</v>
      </c>
      <c r="AI312" s="114">
        <f t="shared" si="3422"/>
        <v>189062.5</v>
      </c>
      <c r="AJ312" s="133">
        <f t="shared" si="3423"/>
        <v>0</v>
      </c>
      <c r="AK312" s="133">
        <f t="shared" si="3443"/>
        <v>0</v>
      </c>
      <c r="AL312" s="133">
        <f t="shared" si="3424"/>
        <v>0</v>
      </c>
      <c r="AM312" s="133">
        <f t="shared" si="3425"/>
        <v>0</v>
      </c>
      <c r="AN312" s="133" t="str">
        <f t="shared" si="3426"/>
        <v>нет оборота</v>
      </c>
      <c r="AO312" s="133" t="str">
        <f t="shared" si="3427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428"/>
        <v>Нет планов</v>
      </c>
      <c r="AW312" s="117">
        <f t="shared" si="3429"/>
        <v>189062.5</v>
      </c>
      <c r="AX312" s="114"/>
      <c r="AY312" s="115">
        <f t="shared" si="3430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31"/>
        <v>0</v>
      </c>
      <c r="BG312" s="32">
        <v>0</v>
      </c>
      <c r="BH312" s="32">
        <f t="shared" si="3432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33"/>
        <v>0</v>
      </c>
      <c r="BR312" s="95">
        <f t="shared" si="3434"/>
        <v>1375</v>
      </c>
      <c r="BS312" s="133">
        <f t="shared" si="3435"/>
        <v>1375</v>
      </c>
      <c r="BT312" s="133">
        <f t="shared" si="3435"/>
        <v>1375</v>
      </c>
      <c r="BU312" s="133">
        <f t="shared" si="3435"/>
        <v>1375</v>
      </c>
      <c r="BV312" s="133">
        <f t="shared" si="3435"/>
        <v>1375</v>
      </c>
      <c r="BW312" s="133">
        <f t="shared" si="3435"/>
        <v>1375</v>
      </c>
      <c r="BX312" s="133">
        <f t="shared" si="3444"/>
        <v>1375</v>
      </c>
      <c r="BY312" s="133">
        <f t="shared" si="3444"/>
        <v>1375</v>
      </c>
      <c r="BZ312" s="133">
        <f t="shared" si="3444"/>
        <v>1375</v>
      </c>
      <c r="CA312" s="133">
        <f t="shared" si="3444"/>
        <v>1375</v>
      </c>
      <c r="CB312" s="133">
        <f t="shared" si="3444"/>
        <v>1375</v>
      </c>
      <c r="CC312" s="133">
        <f t="shared" si="3444"/>
        <v>1375</v>
      </c>
      <c r="CD312" s="133">
        <f t="shared" si="3444"/>
        <v>1375</v>
      </c>
      <c r="CE312" s="133">
        <f t="shared" si="3444"/>
        <v>1375</v>
      </c>
      <c r="CF312" s="133">
        <f t="shared" si="3444"/>
        <v>1375</v>
      </c>
      <c r="CG312" s="133">
        <f t="shared" si="3444"/>
        <v>1375</v>
      </c>
      <c r="CH312" s="133">
        <f t="shared" si="3444"/>
        <v>1375</v>
      </c>
      <c r="CI312" s="133">
        <f t="shared" si="3444"/>
        <v>1375</v>
      </c>
      <c r="CJ312" s="133">
        <f t="shared" si="3444"/>
        <v>1375</v>
      </c>
      <c r="CK312" s="133">
        <f t="shared" si="3444"/>
        <v>1375</v>
      </c>
      <c r="CL312" s="133">
        <f t="shared" si="3444"/>
        <v>1375</v>
      </c>
      <c r="CM312" s="133">
        <f t="shared" si="3444"/>
        <v>1375</v>
      </c>
      <c r="CN312" s="133">
        <f t="shared" si="3444"/>
        <v>1375</v>
      </c>
      <c r="CO312" s="133">
        <f t="shared" si="3444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413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37"/>
        <v>0</v>
      </c>
      <c r="EQ312" s="62">
        <f t="shared" si="3437"/>
        <v>0</v>
      </c>
      <c r="ER312" s="62">
        <f t="shared" si="3437"/>
        <v>0</v>
      </c>
      <c r="ES312" s="62">
        <f t="shared" si="3437"/>
        <v>0</v>
      </c>
      <c r="ET312" s="62">
        <f t="shared" si="3437"/>
        <v>0</v>
      </c>
      <c r="EU312" s="62">
        <f t="shared" si="3437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 t="shared" si="3026"/>
        <v>1</v>
      </c>
      <c r="FS312" s="103" t="b">
        <f t="shared" si="3027"/>
        <v>1</v>
      </c>
      <c r="FT312" s="103" t="b">
        <f t="shared" si="3028"/>
        <v>0</v>
      </c>
      <c r="FU312" s="103" t="b">
        <f t="shared" si="3029"/>
        <v>0</v>
      </c>
      <c r="FV312" s="103" t="b">
        <f t="shared" si="3030"/>
        <v>1</v>
      </c>
      <c r="FW312" s="104" t="b">
        <f t="shared" si="3036"/>
        <v>0</v>
      </c>
      <c r="FX312" s="120" t="b">
        <f t="shared" si="3438"/>
        <v>1</v>
      </c>
      <c r="FY312" s="104" t="s">
        <v>368</v>
      </c>
      <c r="FZ312" s="104" t="b">
        <f t="shared" si="3439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40"/>
        <v>1</v>
      </c>
      <c r="GI312" s="8" t="b">
        <f t="shared" si="3441"/>
        <v>0</v>
      </c>
      <c r="GJ312" s="31" t="s">
        <v>203</v>
      </c>
    </row>
    <row r="313" spans="1:192" hidden="1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415"/>
        <v>нет минмакс</v>
      </c>
      <c r="Q313" s="95">
        <v>100</v>
      </c>
      <c r="R313" s="95">
        <f t="shared" si="3416"/>
        <v>0</v>
      </c>
      <c r="S313" s="114">
        <v>0</v>
      </c>
      <c r="T313" s="114">
        <v>0</v>
      </c>
      <c r="U313" s="131">
        <v>0</v>
      </c>
      <c r="V313" s="115">
        <f t="shared" si="3442"/>
        <v>100</v>
      </c>
      <c r="W313" s="115">
        <f t="shared" si="3417"/>
        <v>0</v>
      </c>
      <c r="X313" s="115">
        <f t="shared" si="3418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419"/>
        <v>0</v>
      </c>
      <c r="AF313" s="95">
        <f t="shared" si="3420"/>
        <v>0</v>
      </c>
      <c r="AG313" s="114">
        <v>0</v>
      </c>
      <c r="AH313" s="95">
        <f t="shared" si="3421"/>
        <v>100</v>
      </c>
      <c r="AI313" s="114">
        <f t="shared" si="3422"/>
        <v>0</v>
      </c>
      <c r="AJ313" s="133">
        <f t="shared" si="3423"/>
        <v>0</v>
      </c>
      <c r="AK313" s="133">
        <f t="shared" si="3443"/>
        <v>0</v>
      </c>
      <c r="AL313" s="133">
        <f t="shared" si="3424"/>
        <v>0</v>
      </c>
      <c r="AM313" s="133">
        <f t="shared" si="3425"/>
        <v>0</v>
      </c>
      <c r="AN313" s="133" t="str">
        <f t="shared" si="3426"/>
        <v>нет оборота</v>
      </c>
      <c r="AO313" s="133" t="str">
        <f t="shared" si="3427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428"/>
        <v>Нет планов</v>
      </c>
      <c r="AW313" s="117">
        <f t="shared" si="3429"/>
        <v>0</v>
      </c>
      <c r="AX313" s="114"/>
      <c r="AY313" s="115">
        <f t="shared" si="3430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31"/>
        <v>0</v>
      </c>
      <c r="BG313" s="32">
        <v>0</v>
      </c>
      <c r="BH313" s="32">
        <f t="shared" si="3432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33"/>
        <v>0</v>
      </c>
      <c r="BR313" s="95">
        <f t="shared" si="3434"/>
        <v>100</v>
      </c>
      <c r="BS313" s="133">
        <f t="shared" si="3435"/>
        <v>100</v>
      </c>
      <c r="BT313" s="133">
        <f t="shared" si="3435"/>
        <v>100</v>
      </c>
      <c r="BU313" s="133">
        <f t="shared" si="3435"/>
        <v>100</v>
      </c>
      <c r="BV313" s="133">
        <f t="shared" si="3435"/>
        <v>100</v>
      </c>
      <c r="BW313" s="133">
        <f t="shared" si="3435"/>
        <v>100</v>
      </c>
      <c r="BX313" s="133">
        <f t="shared" si="3444"/>
        <v>100</v>
      </c>
      <c r="BY313" s="133">
        <f t="shared" si="3444"/>
        <v>100</v>
      </c>
      <c r="BZ313" s="133">
        <f t="shared" si="3444"/>
        <v>100</v>
      </c>
      <c r="CA313" s="133">
        <f t="shared" si="3444"/>
        <v>100</v>
      </c>
      <c r="CB313" s="133">
        <f t="shared" si="3444"/>
        <v>100</v>
      </c>
      <c r="CC313" s="133">
        <f t="shared" si="3444"/>
        <v>100</v>
      </c>
      <c r="CD313" s="133">
        <f t="shared" si="3444"/>
        <v>100</v>
      </c>
      <c r="CE313" s="133">
        <f t="shared" si="3444"/>
        <v>100</v>
      </c>
      <c r="CF313" s="133">
        <f t="shared" si="3444"/>
        <v>100</v>
      </c>
      <c r="CG313" s="133">
        <f t="shared" si="3444"/>
        <v>100</v>
      </c>
      <c r="CH313" s="133">
        <f t="shared" si="3444"/>
        <v>100</v>
      </c>
      <c r="CI313" s="133">
        <f t="shared" si="3444"/>
        <v>100</v>
      </c>
      <c r="CJ313" s="133">
        <f t="shared" si="3444"/>
        <v>100</v>
      </c>
      <c r="CK313" s="133">
        <f t="shared" si="3444"/>
        <v>100</v>
      </c>
      <c r="CL313" s="133">
        <f t="shared" si="3444"/>
        <v>100</v>
      </c>
      <c r="CM313" s="133">
        <f t="shared" si="3444"/>
        <v>100</v>
      </c>
      <c r="CN313" s="133">
        <f t="shared" si="3444"/>
        <v>100</v>
      </c>
      <c r="CO313" s="133">
        <f t="shared" si="3444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413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37"/>
        <v>0</v>
      </c>
      <c r="EQ313" s="62">
        <f t="shared" si="3437"/>
        <v>0</v>
      </c>
      <c r="ER313" s="62">
        <f t="shared" si="3437"/>
        <v>0</v>
      </c>
      <c r="ES313" s="62">
        <f t="shared" si="3437"/>
        <v>0</v>
      </c>
      <c r="ET313" s="62">
        <f t="shared" si="3437"/>
        <v>0</v>
      </c>
      <c r="EU313" s="62">
        <f t="shared" si="3437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 t="shared" si="3026"/>
        <v>0</v>
      </c>
      <c r="FS313" s="103" t="b">
        <f t="shared" si="3027"/>
        <v>0</v>
      </c>
      <c r="FT313" s="103" t="b">
        <f t="shared" si="3028"/>
        <v>0</v>
      </c>
      <c r="FU313" s="103" t="b">
        <f t="shared" si="3029"/>
        <v>0</v>
      </c>
      <c r="FV313" s="103" t="b">
        <f t="shared" si="3030"/>
        <v>1</v>
      </c>
      <c r="FW313" s="104" t="b">
        <f t="shared" si="3036"/>
        <v>0</v>
      </c>
      <c r="FX313" s="120" t="b">
        <f t="shared" si="3438"/>
        <v>1</v>
      </c>
      <c r="FY313" s="104" t="s">
        <v>368</v>
      </c>
      <c r="FZ313" s="104" t="b">
        <f t="shared" si="3439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40"/>
        <v>1</v>
      </c>
      <c r="GI313" s="8" t="b">
        <f t="shared" si="3441"/>
        <v>0</v>
      </c>
      <c r="GJ313" s="31" t="s">
        <v>203</v>
      </c>
    </row>
    <row r="314" spans="1:192" hidden="1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415"/>
        <v>нет минмакс</v>
      </c>
      <c r="Q314" s="95">
        <v>0</v>
      </c>
      <c r="R314" s="95">
        <f t="shared" si="3416"/>
        <v>0</v>
      </c>
      <c r="S314" s="114">
        <v>0</v>
      </c>
      <c r="T314" s="114">
        <v>0</v>
      </c>
      <c r="U314" s="131">
        <v>0</v>
      </c>
      <c r="V314" s="115">
        <f t="shared" si="3442"/>
        <v>0</v>
      </c>
      <c r="W314" s="115">
        <f t="shared" si="3417"/>
        <v>0</v>
      </c>
      <c r="X314" s="115">
        <f t="shared" si="3418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419"/>
        <v>0</v>
      </c>
      <c r="AF314" s="95">
        <f t="shared" si="3420"/>
        <v>0</v>
      </c>
      <c r="AG314" s="114">
        <v>0</v>
      </c>
      <c r="AH314" s="95">
        <f t="shared" si="3421"/>
        <v>0</v>
      </c>
      <c r="AI314" s="114">
        <f t="shared" si="3422"/>
        <v>0</v>
      </c>
      <c r="AJ314" s="114">
        <f t="shared" si="3423"/>
        <v>12038</v>
      </c>
      <c r="AK314" s="114">
        <f t="shared" si="3443"/>
        <v>12038</v>
      </c>
      <c r="AL314" s="114">
        <f t="shared" si="3424"/>
        <v>12038</v>
      </c>
      <c r="AM314" s="114">
        <f t="shared" si="3425"/>
        <v>44000</v>
      </c>
      <c r="AN314" s="133">
        <f t="shared" si="3426"/>
        <v>0</v>
      </c>
      <c r="AO314" s="133" t="str">
        <f t="shared" si="3427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428"/>
        <v>нет остатка</v>
      </c>
      <c r="AW314" s="117">
        <f t="shared" si="3429"/>
        <v>0</v>
      </c>
      <c r="AX314" s="114"/>
      <c r="AY314" s="115">
        <f t="shared" si="3430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31"/>
        <v>0</v>
      </c>
      <c r="BG314" s="32">
        <v>0</v>
      </c>
      <c r="BH314" s="32">
        <f t="shared" si="3432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33"/>
        <v>11000</v>
      </c>
      <c r="BR314" s="95">
        <f t="shared" si="3434"/>
        <v>-24000</v>
      </c>
      <c r="BS314" s="133">
        <f t="shared" ref="BS314:BW323" si="3445">BR314-BL314</f>
        <v>-36000</v>
      </c>
      <c r="BT314" s="133">
        <f t="shared" si="3445"/>
        <v>-40000</v>
      </c>
      <c r="BU314" s="133">
        <f t="shared" si="3445"/>
        <v>-44000</v>
      </c>
      <c r="BV314" s="133">
        <f t="shared" si="3445"/>
        <v>-44000</v>
      </c>
      <c r="BW314" s="133">
        <f t="shared" si="3445"/>
        <v>-44000</v>
      </c>
      <c r="BX314" s="133">
        <f t="shared" ref="BX314:CO316" si="3446">BW314-$BQ314</f>
        <v>-55000</v>
      </c>
      <c r="BY314" s="133">
        <f t="shared" si="3446"/>
        <v>-66000</v>
      </c>
      <c r="BZ314" s="133">
        <f t="shared" si="3446"/>
        <v>-77000</v>
      </c>
      <c r="CA314" s="133">
        <f t="shared" si="3446"/>
        <v>-88000</v>
      </c>
      <c r="CB314" s="133">
        <f t="shared" si="3446"/>
        <v>-99000</v>
      </c>
      <c r="CC314" s="133">
        <f t="shared" si="3446"/>
        <v>-110000</v>
      </c>
      <c r="CD314" s="133">
        <f t="shared" si="3446"/>
        <v>-121000</v>
      </c>
      <c r="CE314" s="133">
        <f t="shared" si="3446"/>
        <v>-132000</v>
      </c>
      <c r="CF314" s="133">
        <f t="shared" si="3446"/>
        <v>-143000</v>
      </c>
      <c r="CG314" s="133">
        <f t="shared" si="3446"/>
        <v>-154000</v>
      </c>
      <c r="CH314" s="133">
        <f t="shared" si="3446"/>
        <v>-165000</v>
      </c>
      <c r="CI314" s="133">
        <f t="shared" si="3446"/>
        <v>-176000</v>
      </c>
      <c r="CJ314" s="133">
        <f t="shared" si="3446"/>
        <v>-187000</v>
      </c>
      <c r="CK314" s="133">
        <f t="shared" si="3446"/>
        <v>-198000</v>
      </c>
      <c r="CL314" s="133">
        <f t="shared" si="3446"/>
        <v>-209000</v>
      </c>
      <c r="CM314" s="133">
        <f t="shared" si="3446"/>
        <v>-220000</v>
      </c>
      <c r="CN314" s="133">
        <f t="shared" si="3446"/>
        <v>-231000</v>
      </c>
      <c r="CO314" s="133">
        <f t="shared" si="3446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47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48">BK314*$FH314</f>
        <v>579120</v>
      </c>
      <c r="EQ314" s="62">
        <f t="shared" si="3448"/>
        <v>289560</v>
      </c>
      <c r="ER314" s="62">
        <f t="shared" si="3448"/>
        <v>96520</v>
      </c>
      <c r="ES314" s="62">
        <f t="shared" si="3448"/>
        <v>96520</v>
      </c>
      <c r="ET314" s="62">
        <f t="shared" si="3448"/>
        <v>0</v>
      </c>
      <c r="EU314" s="62">
        <f t="shared" si="3448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 t="shared" si="3026"/>
        <v>0</v>
      </c>
      <c r="FS314" s="120" t="b">
        <f t="shared" si="3027"/>
        <v>0</v>
      </c>
      <c r="FT314" s="120" t="b">
        <f t="shared" si="3028"/>
        <v>0</v>
      </c>
      <c r="FU314" s="120" t="b">
        <f t="shared" si="3029"/>
        <v>0</v>
      </c>
      <c r="FV314" s="120" t="b">
        <f t="shared" si="3030"/>
        <v>1</v>
      </c>
      <c r="FW314" s="104" t="b">
        <f t="shared" si="3036"/>
        <v>0</v>
      </c>
      <c r="FX314" s="120" t="b">
        <f t="shared" si="3438"/>
        <v>1</v>
      </c>
      <c r="FY314" s="104" t="s">
        <v>246</v>
      </c>
      <c r="FZ314" s="104" t="b">
        <f t="shared" si="3439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40"/>
        <v>0</v>
      </c>
      <c r="GI314" s="8" t="b">
        <f t="shared" si="3441"/>
        <v>0</v>
      </c>
    </row>
    <row r="315" spans="1:192" hidden="1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415"/>
        <v>нет минмакс</v>
      </c>
      <c r="Q315" s="95">
        <v>0</v>
      </c>
      <c r="R315" s="95">
        <f t="shared" si="3416"/>
        <v>0</v>
      </c>
      <c r="S315" s="114">
        <v>0</v>
      </c>
      <c r="T315" s="114">
        <v>0</v>
      </c>
      <c r="U315" s="131">
        <v>0</v>
      </c>
      <c r="V315" s="115">
        <f t="shared" si="3442"/>
        <v>0</v>
      </c>
      <c r="W315" s="115">
        <f t="shared" si="3417"/>
        <v>0</v>
      </c>
      <c r="X315" s="115">
        <f t="shared" si="3418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419"/>
        <v>0</v>
      </c>
      <c r="AF315" s="95">
        <f t="shared" si="3420"/>
        <v>0</v>
      </c>
      <c r="AG315" s="114">
        <v>0</v>
      </c>
      <c r="AH315" s="95">
        <f t="shared" si="3421"/>
        <v>0</v>
      </c>
      <c r="AI315" s="114">
        <f t="shared" si="3422"/>
        <v>0</v>
      </c>
      <c r="AJ315" s="114">
        <f t="shared" si="3423"/>
        <v>11990</v>
      </c>
      <c r="AK315" s="114">
        <f t="shared" si="3443"/>
        <v>11990</v>
      </c>
      <c r="AL315" s="114">
        <f t="shared" si="3424"/>
        <v>11990</v>
      </c>
      <c r="AM315" s="114">
        <f t="shared" si="3425"/>
        <v>41000</v>
      </c>
      <c r="AN315" s="133">
        <f t="shared" si="3426"/>
        <v>0</v>
      </c>
      <c r="AO315" s="133" t="str">
        <f t="shared" si="3427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428"/>
        <v>нет остатка</v>
      </c>
      <c r="AW315" s="117">
        <f t="shared" si="3429"/>
        <v>0</v>
      </c>
      <c r="AX315" s="114"/>
      <c r="AY315" s="115">
        <f t="shared" si="3430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31"/>
        <v>0</v>
      </c>
      <c r="BG315" s="32">
        <v>0</v>
      </c>
      <c r="BH315" s="32">
        <f t="shared" si="3432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33"/>
        <v>10250</v>
      </c>
      <c r="BR315" s="95">
        <f t="shared" si="3434"/>
        <v>-24000</v>
      </c>
      <c r="BS315" s="133">
        <f t="shared" si="3445"/>
        <v>-36000</v>
      </c>
      <c r="BT315" s="133">
        <f t="shared" si="3445"/>
        <v>-38500</v>
      </c>
      <c r="BU315" s="133">
        <f t="shared" si="3445"/>
        <v>-41000</v>
      </c>
      <c r="BV315" s="133">
        <f t="shared" si="3445"/>
        <v>-41000</v>
      </c>
      <c r="BW315" s="133">
        <f t="shared" si="3445"/>
        <v>-41000</v>
      </c>
      <c r="BX315" s="133">
        <f t="shared" si="3446"/>
        <v>-51250</v>
      </c>
      <c r="BY315" s="133">
        <f t="shared" si="3446"/>
        <v>-61500</v>
      </c>
      <c r="BZ315" s="133">
        <f t="shared" si="3446"/>
        <v>-71750</v>
      </c>
      <c r="CA315" s="133">
        <f t="shared" si="3446"/>
        <v>-82000</v>
      </c>
      <c r="CB315" s="133">
        <f t="shared" si="3446"/>
        <v>-92250</v>
      </c>
      <c r="CC315" s="133">
        <f t="shared" si="3446"/>
        <v>-102500</v>
      </c>
      <c r="CD315" s="133">
        <f t="shared" si="3446"/>
        <v>-112750</v>
      </c>
      <c r="CE315" s="133">
        <f t="shared" si="3446"/>
        <v>-123000</v>
      </c>
      <c r="CF315" s="133">
        <f t="shared" si="3446"/>
        <v>-133250</v>
      </c>
      <c r="CG315" s="133">
        <f t="shared" si="3446"/>
        <v>-143500</v>
      </c>
      <c r="CH315" s="133">
        <f t="shared" si="3446"/>
        <v>-153750</v>
      </c>
      <c r="CI315" s="133">
        <f t="shared" si="3446"/>
        <v>-164000</v>
      </c>
      <c r="CJ315" s="133">
        <f t="shared" si="3446"/>
        <v>-174250</v>
      </c>
      <c r="CK315" s="133">
        <f t="shared" si="3446"/>
        <v>-184500</v>
      </c>
      <c r="CL315" s="133">
        <f t="shared" si="3446"/>
        <v>-194750</v>
      </c>
      <c r="CM315" s="133">
        <f t="shared" si="3446"/>
        <v>-205000</v>
      </c>
      <c r="CN315" s="133">
        <f t="shared" si="3446"/>
        <v>-215250</v>
      </c>
      <c r="CO315" s="133">
        <f t="shared" si="3446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47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48"/>
        <v>579120</v>
      </c>
      <c r="EQ315" s="62">
        <f t="shared" si="3448"/>
        <v>289560</v>
      </c>
      <c r="ER315" s="62">
        <f t="shared" si="3448"/>
        <v>60325</v>
      </c>
      <c r="ES315" s="62">
        <f t="shared" si="3448"/>
        <v>60325</v>
      </c>
      <c r="ET315" s="62">
        <f t="shared" si="3448"/>
        <v>0</v>
      </c>
      <c r="EU315" s="62">
        <f t="shared" si="3448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 t="shared" si="3026"/>
        <v>0</v>
      </c>
      <c r="FS315" s="120" t="b">
        <f t="shared" si="3027"/>
        <v>0</v>
      </c>
      <c r="FT315" s="120" t="b">
        <f t="shared" si="3028"/>
        <v>0</v>
      </c>
      <c r="FU315" s="120" t="b">
        <f t="shared" si="3029"/>
        <v>0</v>
      </c>
      <c r="FV315" s="120" t="b">
        <f t="shared" si="3030"/>
        <v>1</v>
      </c>
      <c r="FW315" s="104" t="b">
        <f t="shared" si="3036"/>
        <v>0</v>
      </c>
      <c r="FX315" s="120" t="b">
        <f t="shared" si="3438"/>
        <v>1</v>
      </c>
      <c r="FY315" s="104" t="s">
        <v>246</v>
      </c>
      <c r="FZ315" s="104" t="b">
        <f t="shared" si="3439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40"/>
        <v>0</v>
      </c>
      <c r="GI315" s="8" t="b">
        <f t="shared" si="3441"/>
        <v>1</v>
      </c>
    </row>
    <row r="316" spans="1:192" hidden="1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415"/>
        <v>нет минмакс</v>
      </c>
      <c r="Q316" s="95">
        <v>9</v>
      </c>
      <c r="R316" s="95">
        <f t="shared" si="3416"/>
        <v>186.03000000000003</v>
      </c>
      <c r="S316" s="114">
        <v>0</v>
      </c>
      <c r="T316" s="114">
        <v>0</v>
      </c>
      <c r="U316" s="131">
        <v>0</v>
      </c>
      <c r="V316" s="115">
        <f t="shared" si="3442"/>
        <v>0</v>
      </c>
      <c r="W316" s="115">
        <f t="shared" si="3417"/>
        <v>0</v>
      </c>
      <c r="X316" s="115">
        <f t="shared" si="3418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419"/>
        <v>0</v>
      </c>
      <c r="AF316" s="95">
        <f t="shared" si="3420"/>
        <v>0</v>
      </c>
      <c r="AG316" s="114">
        <v>0</v>
      </c>
      <c r="AH316" s="95">
        <f t="shared" si="3421"/>
        <v>0</v>
      </c>
      <c r="AI316" s="114">
        <f t="shared" si="3422"/>
        <v>0</v>
      </c>
      <c r="AJ316" s="114">
        <f t="shared" si="3423"/>
        <v>12072</v>
      </c>
      <c r="AK316" s="114">
        <f t="shared" si="3443"/>
        <v>12072</v>
      </c>
      <c r="AL316" s="114">
        <f t="shared" si="3424"/>
        <v>12072</v>
      </c>
      <c r="AM316" s="114">
        <f t="shared" si="3425"/>
        <v>44000</v>
      </c>
      <c r="AN316" s="133">
        <f t="shared" si="3426"/>
        <v>0</v>
      </c>
      <c r="AO316" s="133" t="str">
        <f t="shared" si="3427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428"/>
        <v>нет остатка</v>
      </c>
      <c r="AW316" s="117">
        <f t="shared" si="3429"/>
        <v>0</v>
      </c>
      <c r="AX316" s="114"/>
      <c r="AY316" s="115">
        <f t="shared" si="3430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31"/>
        <v>0</v>
      </c>
      <c r="BG316" s="32">
        <v>0</v>
      </c>
      <c r="BH316" s="32">
        <f t="shared" si="3432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33"/>
        <v>11000</v>
      </c>
      <c r="BR316" s="95">
        <f t="shared" si="3434"/>
        <v>-23991</v>
      </c>
      <c r="BS316" s="133">
        <f t="shared" si="3445"/>
        <v>-35991</v>
      </c>
      <c r="BT316" s="133">
        <f t="shared" si="3445"/>
        <v>-39991</v>
      </c>
      <c r="BU316" s="133">
        <f t="shared" si="3445"/>
        <v>-43991</v>
      </c>
      <c r="BV316" s="133">
        <f t="shared" si="3445"/>
        <v>-43991</v>
      </c>
      <c r="BW316" s="133">
        <f t="shared" si="3445"/>
        <v>-43991</v>
      </c>
      <c r="BX316" s="133">
        <f t="shared" si="3446"/>
        <v>-54991</v>
      </c>
      <c r="BY316" s="133">
        <f t="shared" si="3446"/>
        <v>-65991</v>
      </c>
      <c r="BZ316" s="133">
        <f t="shared" si="3446"/>
        <v>-76991</v>
      </c>
      <c r="CA316" s="133">
        <f t="shared" ref="CA316:CO316" si="3449">BZ316-$BQ316</f>
        <v>-87991</v>
      </c>
      <c r="CB316" s="133">
        <f t="shared" si="3449"/>
        <v>-98991</v>
      </c>
      <c r="CC316" s="133">
        <f t="shared" si="3449"/>
        <v>-109991</v>
      </c>
      <c r="CD316" s="133">
        <f t="shared" si="3449"/>
        <v>-120991</v>
      </c>
      <c r="CE316" s="133">
        <f t="shared" si="3449"/>
        <v>-131991</v>
      </c>
      <c r="CF316" s="133">
        <f t="shared" si="3449"/>
        <v>-142991</v>
      </c>
      <c r="CG316" s="133">
        <f t="shared" si="3449"/>
        <v>-153991</v>
      </c>
      <c r="CH316" s="133">
        <f t="shared" si="3449"/>
        <v>-164991</v>
      </c>
      <c r="CI316" s="133">
        <f t="shared" si="3449"/>
        <v>-175991</v>
      </c>
      <c r="CJ316" s="133">
        <f t="shared" si="3449"/>
        <v>-186991</v>
      </c>
      <c r="CK316" s="133">
        <f t="shared" si="3449"/>
        <v>-197991</v>
      </c>
      <c r="CL316" s="133">
        <f t="shared" si="3449"/>
        <v>-208991</v>
      </c>
      <c r="CM316" s="133">
        <f t="shared" si="3449"/>
        <v>-219991</v>
      </c>
      <c r="CN316" s="133">
        <f t="shared" si="3449"/>
        <v>-230991</v>
      </c>
      <c r="CO316" s="133">
        <f t="shared" si="3449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47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48"/>
        <v>496080.00000000006</v>
      </c>
      <c r="EQ316" s="62">
        <f t="shared" si="3448"/>
        <v>248040.00000000003</v>
      </c>
      <c r="ER316" s="62">
        <f t="shared" si="3448"/>
        <v>82680</v>
      </c>
      <c r="ES316" s="62">
        <f t="shared" si="3448"/>
        <v>82680</v>
      </c>
      <c r="ET316" s="62">
        <f t="shared" si="3448"/>
        <v>0</v>
      </c>
      <c r="EU316" s="62">
        <f t="shared" si="3448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 t="shared" si="3026"/>
        <v>0</v>
      </c>
      <c r="FS316" s="120" t="b">
        <f t="shared" si="3027"/>
        <v>0</v>
      </c>
      <c r="FT316" s="120" t="b">
        <f t="shared" si="3028"/>
        <v>0</v>
      </c>
      <c r="FU316" s="120" t="b">
        <f t="shared" si="3029"/>
        <v>0</v>
      </c>
      <c r="FV316" s="120" t="b">
        <f t="shared" si="3030"/>
        <v>1</v>
      </c>
      <c r="FW316" s="104" t="b">
        <f t="shared" si="3036"/>
        <v>0</v>
      </c>
      <c r="FX316" s="120" t="b">
        <f t="shared" si="3438"/>
        <v>1</v>
      </c>
      <c r="FY316" s="104" t="s">
        <v>246</v>
      </c>
      <c r="FZ316" s="104" t="b">
        <f t="shared" si="3439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40"/>
        <v>0</v>
      </c>
      <c r="GI316" s="8" t="b">
        <f t="shared" si="3441"/>
        <v>0</v>
      </c>
    </row>
    <row r="317" spans="1:192" hidden="1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415"/>
        <v>нет минмакс</v>
      </c>
      <c r="Q317" s="95">
        <v>13</v>
      </c>
      <c r="R317" s="95">
        <f t="shared" si="3416"/>
        <v>268.71000000000004</v>
      </c>
      <c r="S317" s="114">
        <v>0</v>
      </c>
      <c r="T317" s="114">
        <v>0</v>
      </c>
      <c r="U317" s="131">
        <v>0</v>
      </c>
      <c r="V317" s="115">
        <f t="shared" si="3442"/>
        <v>0</v>
      </c>
      <c r="W317" s="115">
        <f t="shared" si="3417"/>
        <v>0</v>
      </c>
      <c r="X317" s="115">
        <f t="shared" si="3418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419"/>
        <v>0</v>
      </c>
      <c r="AF317" s="95">
        <f t="shared" si="3420"/>
        <v>0</v>
      </c>
      <c r="AG317" s="114">
        <v>0</v>
      </c>
      <c r="AH317" s="95">
        <f t="shared" si="3421"/>
        <v>0</v>
      </c>
      <c r="AI317" s="114">
        <f t="shared" si="3422"/>
        <v>0</v>
      </c>
      <c r="AJ317" s="114">
        <f t="shared" si="3423"/>
        <v>12024</v>
      </c>
      <c r="AK317" s="114">
        <f t="shared" si="3443"/>
        <v>12024</v>
      </c>
      <c r="AL317" s="114">
        <f t="shared" si="3424"/>
        <v>12024</v>
      </c>
      <c r="AM317" s="114">
        <f t="shared" si="3425"/>
        <v>41000</v>
      </c>
      <c r="AN317" s="133">
        <f t="shared" si="3426"/>
        <v>0</v>
      </c>
      <c r="AO317" s="133" t="str">
        <f t="shared" si="3427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428"/>
        <v>нет остатка</v>
      </c>
      <c r="AW317" s="117">
        <f t="shared" si="3429"/>
        <v>0</v>
      </c>
      <c r="AX317" s="114"/>
      <c r="AY317" s="115">
        <f t="shared" si="3430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31"/>
        <v>0</v>
      </c>
      <c r="BG317" s="32">
        <v>0</v>
      </c>
      <c r="BH317" s="32">
        <f t="shared" si="3432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33"/>
        <v>10250</v>
      </c>
      <c r="BR317" s="95">
        <f t="shared" si="3434"/>
        <v>-23987</v>
      </c>
      <c r="BS317" s="133">
        <f t="shared" si="3445"/>
        <v>-35987</v>
      </c>
      <c r="BT317" s="133">
        <f t="shared" si="3445"/>
        <v>-38487</v>
      </c>
      <c r="BU317" s="133">
        <f t="shared" si="3445"/>
        <v>-40987</v>
      </c>
      <c r="BV317" s="133">
        <f t="shared" si="3445"/>
        <v>-40987</v>
      </c>
      <c r="BW317" s="133">
        <f t="shared" si="3445"/>
        <v>-40987</v>
      </c>
      <c r="BX317" s="133">
        <f t="shared" ref="BX317:CO319" si="3450">BW317-$BQ317</f>
        <v>-51237</v>
      </c>
      <c r="BY317" s="133">
        <f t="shared" si="3450"/>
        <v>-61487</v>
      </c>
      <c r="BZ317" s="133">
        <f t="shared" si="3450"/>
        <v>-71737</v>
      </c>
      <c r="CA317" s="133">
        <f t="shared" si="3450"/>
        <v>-81987</v>
      </c>
      <c r="CB317" s="133">
        <f t="shared" si="3450"/>
        <v>-92237</v>
      </c>
      <c r="CC317" s="133">
        <f t="shared" si="3450"/>
        <v>-102487</v>
      </c>
      <c r="CD317" s="133">
        <f t="shared" si="3450"/>
        <v>-112737</v>
      </c>
      <c r="CE317" s="133">
        <f t="shared" si="3450"/>
        <v>-122987</v>
      </c>
      <c r="CF317" s="133">
        <f t="shared" si="3450"/>
        <v>-133237</v>
      </c>
      <c r="CG317" s="133">
        <f t="shared" si="3450"/>
        <v>-143487</v>
      </c>
      <c r="CH317" s="133">
        <f t="shared" si="3450"/>
        <v>-153737</v>
      </c>
      <c r="CI317" s="133">
        <f t="shared" si="3450"/>
        <v>-163987</v>
      </c>
      <c r="CJ317" s="133">
        <f t="shared" si="3450"/>
        <v>-174237</v>
      </c>
      <c r="CK317" s="133">
        <f t="shared" si="3450"/>
        <v>-184487</v>
      </c>
      <c r="CL317" s="133">
        <f t="shared" si="3450"/>
        <v>-194737</v>
      </c>
      <c r="CM317" s="133">
        <f t="shared" si="3450"/>
        <v>-204987</v>
      </c>
      <c r="CN317" s="133">
        <f t="shared" si="3450"/>
        <v>-215237</v>
      </c>
      <c r="CO317" s="133">
        <f t="shared" si="3450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47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48"/>
        <v>496080.00000000006</v>
      </c>
      <c r="EQ317" s="62">
        <f t="shared" si="3448"/>
        <v>248040.00000000003</v>
      </c>
      <c r="ER317" s="62">
        <f t="shared" si="3448"/>
        <v>51675.000000000007</v>
      </c>
      <c r="ES317" s="62">
        <f t="shared" si="3448"/>
        <v>51675.000000000007</v>
      </c>
      <c r="ET317" s="62">
        <f t="shared" si="3448"/>
        <v>0</v>
      </c>
      <c r="EU317" s="62">
        <f t="shared" si="3448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 t="shared" si="3026"/>
        <v>0</v>
      </c>
      <c r="FS317" s="120" t="b">
        <f t="shared" si="3027"/>
        <v>0</v>
      </c>
      <c r="FT317" s="120" t="b">
        <f t="shared" si="3028"/>
        <v>0</v>
      </c>
      <c r="FU317" s="120" t="b">
        <f t="shared" si="3029"/>
        <v>0</v>
      </c>
      <c r="FV317" s="120" t="b">
        <f t="shared" si="3030"/>
        <v>1</v>
      </c>
      <c r="FW317" s="104" t="b">
        <f t="shared" si="3036"/>
        <v>0</v>
      </c>
      <c r="FX317" s="120" t="b">
        <f t="shared" si="3438"/>
        <v>1</v>
      </c>
      <c r="FY317" s="104" t="s">
        <v>246</v>
      </c>
      <c r="FZ317" s="104" t="b">
        <f t="shared" si="3439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40"/>
        <v>0</v>
      </c>
      <c r="GI317" s="8" t="b">
        <f t="shared" si="3441"/>
        <v>1</v>
      </c>
    </row>
    <row r="318" spans="1:192" ht="30" hidden="1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415"/>
        <v>нет минмакс</v>
      </c>
      <c r="Q318" s="95">
        <v>11614</v>
      </c>
      <c r="R318" s="95">
        <f t="shared" si="3416"/>
        <v>393482.32</v>
      </c>
      <c r="S318" s="114">
        <v>0</v>
      </c>
      <c r="T318" s="114">
        <v>0</v>
      </c>
      <c r="U318" s="131">
        <v>0</v>
      </c>
      <c r="V318" s="115">
        <f t="shared" si="3442"/>
        <v>11612</v>
      </c>
      <c r="W318" s="115">
        <f t="shared" si="3417"/>
        <v>393414.56000000006</v>
      </c>
      <c r="X318" s="115">
        <f t="shared" si="3418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419"/>
        <v>0</v>
      </c>
      <c r="AF318" s="95">
        <f t="shared" si="3420"/>
        <v>0</v>
      </c>
      <c r="AG318" s="114">
        <v>0</v>
      </c>
      <c r="AH318" s="95">
        <f t="shared" si="3421"/>
        <v>11612</v>
      </c>
      <c r="AI318" s="114">
        <f t="shared" si="3422"/>
        <v>393414.56000000006</v>
      </c>
      <c r="AJ318" s="114">
        <f t="shared" si="3423"/>
        <v>371</v>
      </c>
      <c r="AK318" s="114">
        <f t="shared" si="3443"/>
        <v>371</v>
      </c>
      <c r="AL318" s="114">
        <f t="shared" si="3424"/>
        <v>371</v>
      </c>
      <c r="AM318" s="114">
        <f t="shared" si="3425"/>
        <v>0</v>
      </c>
      <c r="AN318" s="133" t="str">
        <f t="shared" si="3426"/>
        <v>нет оборота</v>
      </c>
      <c r="AO318" s="133" t="str">
        <f t="shared" si="3427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428"/>
        <v>Нет планов</v>
      </c>
      <c r="AW318" s="117">
        <f t="shared" si="3429"/>
        <v>393414.56000000006</v>
      </c>
      <c r="AX318" s="14">
        <f t="shared" ref="AX318:AX319" si="3451">MONTH(BC318)-6</f>
        <v>1</v>
      </c>
      <c r="AY318" s="115">
        <f t="shared" si="3430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31"/>
        <v>0</v>
      </c>
      <c r="BG318" s="32">
        <v>0</v>
      </c>
      <c r="BH318" s="32">
        <f t="shared" si="3432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33"/>
        <v>0</v>
      </c>
      <c r="BR318" s="95">
        <f t="shared" si="3434"/>
        <v>11612</v>
      </c>
      <c r="BS318" s="133">
        <f t="shared" si="3445"/>
        <v>11612</v>
      </c>
      <c r="BT318" s="133">
        <f t="shared" si="3445"/>
        <v>11612</v>
      </c>
      <c r="BU318" s="133">
        <f t="shared" si="3445"/>
        <v>11612</v>
      </c>
      <c r="BV318" s="133">
        <f t="shared" si="3445"/>
        <v>11612</v>
      </c>
      <c r="BW318" s="133">
        <f t="shared" si="3445"/>
        <v>11612</v>
      </c>
      <c r="BX318" s="133">
        <f t="shared" si="3450"/>
        <v>11612</v>
      </c>
      <c r="BY318" s="133">
        <f t="shared" si="3450"/>
        <v>11612</v>
      </c>
      <c r="BZ318" s="133">
        <f t="shared" si="3450"/>
        <v>11612</v>
      </c>
      <c r="CA318" s="133">
        <f t="shared" si="3450"/>
        <v>11612</v>
      </c>
      <c r="CB318" s="133">
        <f t="shared" si="3450"/>
        <v>11612</v>
      </c>
      <c r="CC318" s="133">
        <f t="shared" si="3450"/>
        <v>11612</v>
      </c>
      <c r="CD318" s="133">
        <f t="shared" si="3450"/>
        <v>11612</v>
      </c>
      <c r="CE318" s="133">
        <f t="shared" si="3450"/>
        <v>11612</v>
      </c>
      <c r="CF318" s="133">
        <f t="shared" si="3450"/>
        <v>11612</v>
      </c>
      <c r="CG318" s="133">
        <f t="shared" si="3450"/>
        <v>11612</v>
      </c>
      <c r="CH318" s="133">
        <f t="shared" si="3450"/>
        <v>11612</v>
      </c>
      <c r="CI318" s="133">
        <f t="shared" si="3450"/>
        <v>11612</v>
      </c>
      <c r="CJ318" s="133">
        <f t="shared" si="3450"/>
        <v>11612</v>
      </c>
      <c r="CK318" s="133">
        <f t="shared" si="3450"/>
        <v>11612</v>
      </c>
      <c r="CL318" s="133">
        <f t="shared" si="3450"/>
        <v>11612</v>
      </c>
      <c r="CM318" s="133">
        <f t="shared" si="3450"/>
        <v>11612</v>
      </c>
      <c r="CN318" s="133">
        <f t="shared" si="3450"/>
        <v>11612</v>
      </c>
      <c r="CO318" s="133">
        <f t="shared" si="3450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47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48"/>
        <v>0</v>
      </c>
      <c r="EQ318" s="62">
        <f t="shared" si="3448"/>
        <v>0</v>
      </c>
      <c r="ER318" s="62">
        <f t="shared" si="3448"/>
        <v>0</v>
      </c>
      <c r="ES318" s="62">
        <f t="shared" si="3448"/>
        <v>0</v>
      </c>
      <c r="ET318" s="62">
        <f t="shared" si="3448"/>
        <v>0</v>
      </c>
      <c r="EU318" s="62">
        <f t="shared" si="3448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 t="shared" si="3026"/>
        <v>0</v>
      </c>
      <c r="FS318" s="120" t="b">
        <f t="shared" si="3027"/>
        <v>0</v>
      </c>
      <c r="FT318" s="120" t="b">
        <f t="shared" si="3028"/>
        <v>0</v>
      </c>
      <c r="FU318" s="120" t="b">
        <f t="shared" si="3029"/>
        <v>0</v>
      </c>
      <c r="FV318" s="120" t="b">
        <f t="shared" si="3030"/>
        <v>1</v>
      </c>
      <c r="FW318" s="104" t="b">
        <f t="shared" si="3036"/>
        <v>0</v>
      </c>
      <c r="FX318" s="120" t="b">
        <f t="shared" si="3438"/>
        <v>1</v>
      </c>
      <c r="FY318" s="104" t="s">
        <v>246</v>
      </c>
      <c r="FZ318" s="104" t="b">
        <f t="shared" si="3439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40"/>
        <v>0</v>
      </c>
      <c r="GI318" s="8" t="b">
        <f t="shared" si="3441"/>
        <v>0</v>
      </c>
    </row>
    <row r="319" spans="1:192" ht="30" hidden="1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415"/>
        <v>нет минмакс</v>
      </c>
      <c r="Q319" s="95">
        <v>11724</v>
      </c>
      <c r="R319" s="95">
        <f t="shared" si="3416"/>
        <v>390878.16000000003</v>
      </c>
      <c r="S319" s="114">
        <v>0</v>
      </c>
      <c r="T319" s="114">
        <v>0</v>
      </c>
      <c r="U319" s="131">
        <v>0</v>
      </c>
      <c r="V319" s="115">
        <f t="shared" si="3442"/>
        <v>11724</v>
      </c>
      <c r="W319" s="115">
        <f t="shared" si="3417"/>
        <v>390878.16000000003</v>
      </c>
      <c r="X319" s="115">
        <f t="shared" si="3418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419"/>
        <v>0</v>
      </c>
      <c r="AF319" s="95">
        <f t="shared" si="3420"/>
        <v>0</v>
      </c>
      <c r="AG319" s="114">
        <v>0</v>
      </c>
      <c r="AH319" s="95">
        <f t="shared" si="3421"/>
        <v>11724</v>
      </c>
      <c r="AI319" s="114">
        <f t="shared" si="3422"/>
        <v>390878.16000000003</v>
      </c>
      <c r="AJ319" s="114">
        <f t="shared" si="3423"/>
        <v>167</v>
      </c>
      <c r="AK319" s="114">
        <f t="shared" si="3443"/>
        <v>167</v>
      </c>
      <c r="AL319" s="114">
        <f t="shared" si="3424"/>
        <v>167</v>
      </c>
      <c r="AM319" s="114">
        <f t="shared" si="3425"/>
        <v>0</v>
      </c>
      <c r="AN319" s="133" t="str">
        <f t="shared" si="3426"/>
        <v>нет оборота</v>
      </c>
      <c r="AO319" s="133" t="str">
        <f t="shared" si="3427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428"/>
        <v>Нет планов</v>
      </c>
      <c r="AW319" s="117">
        <f t="shared" si="3429"/>
        <v>390878.16000000003</v>
      </c>
      <c r="AX319" s="14">
        <f t="shared" si="3451"/>
        <v>1</v>
      </c>
      <c r="AY319" s="115">
        <f t="shared" si="3430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31"/>
        <v>0</v>
      </c>
      <c r="BG319" s="32">
        <v>0</v>
      </c>
      <c r="BH319" s="32">
        <f t="shared" si="3432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33"/>
        <v>0</v>
      </c>
      <c r="BR319" s="95">
        <f t="shared" si="3434"/>
        <v>11724</v>
      </c>
      <c r="BS319" s="133">
        <f t="shared" si="3445"/>
        <v>11724</v>
      </c>
      <c r="BT319" s="133">
        <f t="shared" si="3445"/>
        <v>11724</v>
      </c>
      <c r="BU319" s="133">
        <f t="shared" si="3445"/>
        <v>11724</v>
      </c>
      <c r="BV319" s="133">
        <f t="shared" si="3445"/>
        <v>11724</v>
      </c>
      <c r="BW319" s="133">
        <f t="shared" si="3445"/>
        <v>11724</v>
      </c>
      <c r="BX319" s="133">
        <f t="shared" si="3450"/>
        <v>11724</v>
      </c>
      <c r="BY319" s="133">
        <f t="shared" si="3450"/>
        <v>11724</v>
      </c>
      <c r="BZ319" s="133">
        <f t="shared" si="3450"/>
        <v>11724</v>
      </c>
      <c r="CA319" s="133">
        <f t="shared" si="3450"/>
        <v>11724</v>
      </c>
      <c r="CB319" s="133">
        <f t="shared" si="3450"/>
        <v>11724</v>
      </c>
      <c r="CC319" s="133">
        <f t="shared" si="3450"/>
        <v>11724</v>
      </c>
      <c r="CD319" s="133">
        <f t="shared" si="3450"/>
        <v>11724</v>
      </c>
      <c r="CE319" s="133">
        <f t="shared" si="3450"/>
        <v>11724</v>
      </c>
      <c r="CF319" s="133">
        <f t="shared" si="3450"/>
        <v>11724</v>
      </c>
      <c r="CG319" s="133">
        <f t="shared" si="3450"/>
        <v>11724</v>
      </c>
      <c r="CH319" s="133">
        <f t="shared" si="3450"/>
        <v>11724</v>
      </c>
      <c r="CI319" s="133">
        <f t="shared" si="3450"/>
        <v>11724</v>
      </c>
      <c r="CJ319" s="133">
        <f t="shared" si="3450"/>
        <v>11724</v>
      </c>
      <c r="CK319" s="133">
        <f t="shared" si="3450"/>
        <v>11724</v>
      </c>
      <c r="CL319" s="133">
        <f t="shared" si="3450"/>
        <v>11724</v>
      </c>
      <c r="CM319" s="133">
        <f t="shared" si="3450"/>
        <v>11724</v>
      </c>
      <c r="CN319" s="133">
        <f t="shared" si="3450"/>
        <v>11724</v>
      </c>
      <c r="CO319" s="133">
        <f t="shared" si="3450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47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48"/>
        <v>0</v>
      </c>
      <c r="EQ319" s="62">
        <f t="shared" si="3448"/>
        <v>0</v>
      </c>
      <c r="ER319" s="62">
        <f t="shared" si="3448"/>
        <v>0</v>
      </c>
      <c r="ES319" s="62">
        <f t="shared" si="3448"/>
        <v>0</v>
      </c>
      <c r="ET319" s="62">
        <f t="shared" si="3448"/>
        <v>0</v>
      </c>
      <c r="EU319" s="62">
        <f t="shared" si="3448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 t="shared" si="3026"/>
        <v>0</v>
      </c>
      <c r="FS319" s="120" t="b">
        <f t="shared" si="3027"/>
        <v>0</v>
      </c>
      <c r="FT319" s="120" t="b">
        <f t="shared" si="3028"/>
        <v>0</v>
      </c>
      <c r="FU319" s="120" t="b">
        <f t="shared" si="3029"/>
        <v>0</v>
      </c>
      <c r="FV319" s="120" t="b">
        <f t="shared" si="3030"/>
        <v>1</v>
      </c>
      <c r="FW319" s="104" t="b">
        <f t="shared" si="3036"/>
        <v>0</v>
      </c>
      <c r="FX319" s="120" t="b">
        <f t="shared" si="3438"/>
        <v>1</v>
      </c>
      <c r="FY319" s="104" t="s">
        <v>246</v>
      </c>
      <c r="FZ319" s="104" t="b">
        <f t="shared" si="3439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40"/>
        <v>0</v>
      </c>
      <c r="GI319" s="8" t="b">
        <f t="shared" si="3441"/>
        <v>0</v>
      </c>
    </row>
    <row r="320" spans="1:192" hidden="1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52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53">Q320*FH320</f>
        <v>22625.200000000001</v>
      </c>
      <c r="S320" s="131">
        <v>520</v>
      </c>
      <c r="T320" s="131">
        <v>22625.200000000001</v>
      </c>
      <c r="U320" s="131">
        <f t="shared" ref="U320:U324" si="3454">IFERROR(ROUNDUP(S320/$EX320,0)*$EY320,0)</f>
        <v>1</v>
      </c>
      <c r="V320" s="113">
        <f t="shared" ref="V320:V325" si="3455">SUM(Z320:AD320)</f>
        <v>520</v>
      </c>
      <c r="W320" s="113">
        <f t="shared" ref="W320:W324" si="3456">V320*FH320</f>
        <v>22625.200000000001</v>
      </c>
      <c r="X320" s="113">
        <f t="shared" ref="X320:X324" si="3457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58">AA320*FH320</f>
        <v>0</v>
      </c>
      <c r="AF320" s="95">
        <f t="shared" ref="AF320:AF324" si="3459">AB320*FH320</f>
        <v>0</v>
      </c>
      <c r="AG320" s="114">
        <v>0</v>
      </c>
      <c r="AH320" s="95">
        <f t="shared" ref="AH320:AH324" si="3460">V320-AG320</f>
        <v>520</v>
      </c>
      <c r="AI320" s="114">
        <f t="shared" ref="AI320:AI324" si="3461">IF(AH320&gt;0,AH320*FH320,0)</f>
        <v>22625.200000000001</v>
      </c>
      <c r="AJ320" s="133">
        <f t="shared" ref="AJ320:AJ324" si="3462">CU320</f>
        <v>0</v>
      </c>
      <c r="AK320" s="133">
        <f t="shared" ref="AK320:AK325" si="3463">SUM(CS320:CU320)</f>
        <v>0</v>
      </c>
      <c r="AL320" s="133">
        <f t="shared" ref="AL320:AL324" si="3464">SUM(CP320:CU320)</f>
        <v>0</v>
      </c>
      <c r="AM320" s="133">
        <f t="shared" ref="AM320:AM324" si="3465">SUM(BK320:BP320)</f>
        <v>0</v>
      </c>
      <c r="AN320" s="133" t="str">
        <f t="shared" ref="AN320:AN324" si="3466">IFERROR(S320/BQ320*30,"нет оборота")</f>
        <v>нет оборота</v>
      </c>
      <c r="AO320" s="133" t="str">
        <f t="shared" ref="AO320:AO324" si="3467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68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69">IF(AT320="Да",W320,0)</f>
        <v>22625.200000000001</v>
      </c>
      <c r="AX320" s="14"/>
      <c r="AY320" s="25">
        <f t="shared" ref="AY320:AY324" si="3470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71">BE320*FH320</f>
        <v>0</v>
      </c>
      <c r="BG320" s="32">
        <v>0</v>
      </c>
      <c r="BH320" s="32">
        <f t="shared" ref="BH320:BH324" si="3472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73">IF(COUNTIF(BK320:BP320,"&gt;0")=0,0,SUM(BK320:BP320)/COUNTIF(BK320:BP320,"&gt;0"))</f>
        <v>0</v>
      </c>
      <c r="BR320" s="95">
        <f t="shared" ref="BR320:BR324" si="3474">IF(OR(Q320=0,SUM(BK320:BP320)=0,V320&gt;Q320),V320-BK320,Q320-BK320)</f>
        <v>520</v>
      </c>
      <c r="BS320" s="133">
        <f t="shared" si="3445"/>
        <v>520</v>
      </c>
      <c r="BT320" s="133">
        <f t="shared" si="3445"/>
        <v>520</v>
      </c>
      <c r="BU320" s="133">
        <f t="shared" si="3445"/>
        <v>520</v>
      </c>
      <c r="BV320" s="133">
        <f t="shared" si="3445"/>
        <v>520</v>
      </c>
      <c r="BW320" s="133">
        <f t="shared" si="3445"/>
        <v>520</v>
      </c>
      <c r="BX320" s="133">
        <f t="shared" ref="BX320:CO322" si="3475">BW320-$BQ320</f>
        <v>520</v>
      </c>
      <c r="BY320" s="133">
        <f t="shared" si="3475"/>
        <v>520</v>
      </c>
      <c r="BZ320" s="133">
        <f t="shared" si="3475"/>
        <v>520</v>
      </c>
      <c r="CA320" s="133">
        <f t="shared" si="3475"/>
        <v>520</v>
      </c>
      <c r="CB320" s="133">
        <f t="shared" si="3475"/>
        <v>520</v>
      </c>
      <c r="CC320" s="133">
        <f t="shared" si="3475"/>
        <v>520</v>
      </c>
      <c r="CD320" s="133">
        <f t="shared" si="3475"/>
        <v>520</v>
      </c>
      <c r="CE320" s="133">
        <f t="shared" si="3475"/>
        <v>520</v>
      </c>
      <c r="CF320" s="133">
        <f t="shared" si="3475"/>
        <v>520</v>
      </c>
      <c r="CG320" s="133">
        <f t="shared" si="3475"/>
        <v>520</v>
      </c>
      <c r="CH320" s="133">
        <f t="shared" si="3475"/>
        <v>520</v>
      </c>
      <c r="CI320" s="133">
        <f t="shared" si="3475"/>
        <v>520</v>
      </c>
      <c r="CJ320" s="133">
        <f t="shared" si="3475"/>
        <v>520</v>
      </c>
      <c r="CK320" s="133">
        <f t="shared" si="3475"/>
        <v>520</v>
      </c>
      <c r="CL320" s="133">
        <f t="shared" si="3475"/>
        <v>520</v>
      </c>
      <c r="CM320" s="133">
        <f t="shared" si="3475"/>
        <v>520</v>
      </c>
      <c r="CN320" s="133">
        <f t="shared" si="3475"/>
        <v>520</v>
      </c>
      <c r="CO320" s="133">
        <f t="shared" si="3475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76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77">IFERROR(CZ320/CY320,0)</f>
        <v>0</v>
      </c>
      <c r="DB320" s="4">
        <f t="shared" ref="DB320:DB322" si="3478">CY320*FH320</f>
        <v>0</v>
      </c>
      <c r="DC320" s="4">
        <f t="shared" ref="DC320:DC322" si="3479">CZ320*FH320</f>
        <v>0</v>
      </c>
      <c r="DD320" s="136">
        <f t="shared" ref="DD320:DD322" si="3480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81">IFERROR(ROUNDUP(DG320/$EX320,0)*$EY320,0)</f>
        <v>1</v>
      </c>
      <c r="DI320" s="62">
        <v>520</v>
      </c>
      <c r="DJ320" s="62">
        <v>22626.240000000002</v>
      </c>
      <c r="DK320" s="48">
        <f t="shared" ref="DK320:DK324" si="3482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83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84">IFERROR(ROUNDUP(DS320/$EX320,0)*$EY320,0)</f>
        <v>1</v>
      </c>
      <c r="DV320" s="62">
        <v>0</v>
      </c>
      <c r="DW320" s="62">
        <v>0</v>
      </c>
      <c r="DX320" s="62">
        <f t="shared" ref="DX320:DX324" si="3485">$DF320*BK320/30</f>
        <v>0</v>
      </c>
      <c r="DY320" s="62">
        <f t="shared" ref="DY320:DY324" si="3486">DX320*$FH320</f>
        <v>0</v>
      </c>
      <c r="DZ320" s="48">
        <f t="shared" ref="DZ320:DZ324" si="3487">IFERROR(ROUNDUP(DX320/$EX320,0)*$EY320,0)</f>
        <v>0</v>
      </c>
      <c r="EA320" s="62">
        <f t="shared" ref="EA320:EA324" si="3488">$DF320*BL320/30</f>
        <v>0</v>
      </c>
      <c r="EB320" s="62">
        <f t="shared" ref="EB320:EB324" si="3489">EA320*$FH320</f>
        <v>0</v>
      </c>
      <c r="EC320" s="48">
        <f t="shared" ref="EC320:EC324" si="3490">IFERROR(ROUNDUP(EA320/$EX320,0)*$EY320,0)</f>
        <v>0</v>
      </c>
      <c r="ED320" s="62">
        <f t="shared" ref="ED320:ED324" si="3491">$DF320*BM320/30</f>
        <v>0</v>
      </c>
      <c r="EE320" s="62">
        <f t="shared" ref="EE320:EE324" si="3492">ED320*$FH320</f>
        <v>0</v>
      </c>
      <c r="EF320" s="48">
        <f t="shared" ref="EF320:EF324" si="3493">IFERROR(ROUNDUP(ED320/$EX320,0)*$EY320,0)</f>
        <v>0</v>
      </c>
      <c r="EG320" s="62">
        <f t="shared" ref="EG320:EG324" si="3494">$DF320*BN320/30</f>
        <v>0</v>
      </c>
      <c r="EH320" s="62">
        <f t="shared" ref="EH320:EH324" si="3495">EG320*$FH320</f>
        <v>0</v>
      </c>
      <c r="EI320" s="48">
        <f t="shared" ref="EI320:EI324" si="3496">IFERROR(ROUNDUP(EG320/$EX320,0)*$EY320,0)</f>
        <v>0</v>
      </c>
      <c r="EJ320" s="62">
        <f t="shared" ref="EJ320:EJ324" si="3497">$DF320*BO320/30</f>
        <v>0</v>
      </c>
      <c r="EK320" s="62">
        <f t="shared" ref="EK320:EK324" si="3498">EJ320*$FH320</f>
        <v>0</v>
      </c>
      <c r="EL320" s="48">
        <f t="shared" ref="EL320:EL324" si="3499">IFERROR(ROUNDUP(EJ320/$EX320,0)*$EY320,0)</f>
        <v>0</v>
      </c>
      <c r="EM320" s="62">
        <f t="shared" ref="EM320:EM324" si="3500">$DF320*BP320/30</f>
        <v>0</v>
      </c>
      <c r="EN320" s="62">
        <f t="shared" ref="EN320:EN324" si="3501">EM320*$FH320</f>
        <v>0</v>
      </c>
      <c r="EO320" s="48">
        <f t="shared" ref="EO320:EO324" si="3502">IFERROR(ROUNDUP(EM320/$EX320,0)*$EY320,0)</f>
        <v>0</v>
      </c>
      <c r="EP320" s="62">
        <f t="shared" ref="EP320:EU323" si="3503">BK320*$FH320</f>
        <v>0</v>
      </c>
      <c r="EQ320" s="62">
        <f t="shared" si="3503"/>
        <v>0</v>
      </c>
      <c r="ER320" s="62">
        <f t="shared" si="3503"/>
        <v>0</v>
      </c>
      <c r="ES320" s="62">
        <f t="shared" si="3503"/>
        <v>0</v>
      </c>
      <c r="ET320" s="62">
        <f t="shared" si="3503"/>
        <v>0</v>
      </c>
      <c r="EU320" s="62">
        <f t="shared" si="3503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504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 t="shared" si="3026"/>
        <v>1</v>
      </c>
      <c r="FS320" s="103" t="b">
        <f t="shared" si="3027"/>
        <v>1</v>
      </c>
      <c r="FT320" s="103" t="b">
        <f t="shared" si="3028"/>
        <v>1</v>
      </c>
      <c r="FU320" s="103" t="b">
        <f t="shared" si="3029"/>
        <v>0</v>
      </c>
      <c r="FV320" s="103" t="b">
        <f t="shared" si="3030"/>
        <v>1</v>
      </c>
      <c r="FW320" s="104" t="b">
        <f t="shared" si="3036"/>
        <v>0</v>
      </c>
      <c r="FX320" s="120" t="b">
        <f t="shared" ref="FX320:FX324" si="3505">EXACT(FQ320,BI320)</f>
        <v>1</v>
      </c>
      <c r="FY320" s="104" t="s">
        <v>368</v>
      </c>
      <c r="FZ320" s="104" t="b">
        <f t="shared" ref="FZ320:FZ324" si="3506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507">EXACT(GD320,C320)</f>
        <v>1</v>
      </c>
      <c r="GI320" s="8" t="b">
        <f t="shared" ref="GI320:GI324" si="3508">EXACT(GG320,G320)</f>
        <v>0</v>
      </c>
      <c r="GJ320" s="31" t="s">
        <v>203</v>
      </c>
    </row>
    <row r="321" spans="1:192" hidden="1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52"/>
        <v>в диапазоне</v>
      </c>
      <c r="Q321" s="95">
        <v>100</v>
      </c>
      <c r="R321" s="95">
        <f t="shared" si="3453"/>
        <v>28000</v>
      </c>
      <c r="S321" s="131">
        <v>80.389999389648438</v>
      </c>
      <c r="T321" s="131">
        <v>22509.199829101563</v>
      </c>
      <c r="U321" s="131">
        <f t="shared" si="3454"/>
        <v>1</v>
      </c>
      <c r="V321" s="113">
        <f t="shared" si="3455"/>
        <v>245.25599670410156</v>
      </c>
      <c r="W321" s="113">
        <f t="shared" si="3456"/>
        <v>68671.679077148438</v>
      </c>
      <c r="X321" s="113">
        <f t="shared" si="3457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58"/>
        <v>0</v>
      </c>
      <c r="AF321" s="95">
        <f t="shared" si="3459"/>
        <v>0</v>
      </c>
      <c r="AG321" s="114">
        <v>0</v>
      </c>
      <c r="AH321" s="95">
        <f t="shared" si="3460"/>
        <v>245.25599670410156</v>
      </c>
      <c r="AI321" s="114">
        <f t="shared" si="3461"/>
        <v>68671.679077148438</v>
      </c>
      <c r="AJ321" s="133">
        <f t="shared" si="3462"/>
        <v>24</v>
      </c>
      <c r="AK321" s="133">
        <f t="shared" si="3463"/>
        <v>332</v>
      </c>
      <c r="AL321" s="133">
        <f t="shared" si="3464"/>
        <v>453</v>
      </c>
      <c r="AM321" s="133">
        <f t="shared" si="3465"/>
        <v>531.07999999999993</v>
      </c>
      <c r="AN321" s="133">
        <f t="shared" si="3466"/>
        <v>27.246742280139944</v>
      </c>
      <c r="AO321" s="133" t="str">
        <f t="shared" si="3467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68"/>
        <v>0-04</v>
      </c>
      <c r="AW321" s="117">
        <f t="shared" si="3469"/>
        <v>0</v>
      </c>
      <c r="AX321" s="14"/>
      <c r="AY321" s="25">
        <f t="shared" si="3470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71"/>
        <v>0</v>
      </c>
      <c r="BG321" s="32">
        <v>0</v>
      </c>
      <c r="BH321" s="32">
        <f t="shared" si="3472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73"/>
        <v>88.513333333333321</v>
      </c>
      <c r="BR321" s="95">
        <f t="shared" si="3474"/>
        <v>221.60599670410156</v>
      </c>
      <c r="BS321" s="133">
        <f t="shared" si="3445"/>
        <v>144.64599670410155</v>
      </c>
      <c r="BT321" s="133">
        <f t="shared" si="3445"/>
        <v>36.605996704101543</v>
      </c>
      <c r="BU321" s="133">
        <f t="shared" si="3445"/>
        <v>-70.664003295898453</v>
      </c>
      <c r="BV321" s="133">
        <f t="shared" si="3445"/>
        <v>-177.97400329589846</v>
      </c>
      <c r="BW321" s="133">
        <f t="shared" si="3445"/>
        <v>-285.82400329589848</v>
      </c>
      <c r="BX321" s="133">
        <f t="shared" si="3475"/>
        <v>-374.3373366292318</v>
      </c>
      <c r="BY321" s="133">
        <f t="shared" si="3475"/>
        <v>-462.85066996256512</v>
      </c>
      <c r="BZ321" s="133">
        <f t="shared" si="3475"/>
        <v>-551.36400329589844</v>
      </c>
      <c r="CA321" s="133">
        <f t="shared" si="3475"/>
        <v>-639.87733662923176</v>
      </c>
      <c r="CB321" s="133">
        <f t="shared" si="3475"/>
        <v>-728.39066996256508</v>
      </c>
      <c r="CC321" s="133">
        <f t="shared" si="3475"/>
        <v>-816.90400329589841</v>
      </c>
      <c r="CD321" s="133">
        <f t="shared" si="3475"/>
        <v>-905.41733662923173</v>
      </c>
      <c r="CE321" s="133">
        <f t="shared" si="3475"/>
        <v>-993.93066996256505</v>
      </c>
      <c r="CF321" s="133">
        <f t="shared" si="3475"/>
        <v>-1082.4440032958983</v>
      </c>
      <c r="CG321" s="133">
        <f t="shared" si="3475"/>
        <v>-1170.9573366292316</v>
      </c>
      <c r="CH321" s="133">
        <f t="shared" si="3475"/>
        <v>-1259.4706699625649</v>
      </c>
      <c r="CI321" s="133">
        <f t="shared" si="3475"/>
        <v>-1347.9840032958982</v>
      </c>
      <c r="CJ321" s="133">
        <f t="shared" si="3475"/>
        <v>-1436.4973366292315</v>
      </c>
      <c r="CK321" s="133">
        <f t="shared" si="3475"/>
        <v>-1525.0106699625649</v>
      </c>
      <c r="CL321" s="133">
        <f t="shared" si="3475"/>
        <v>-1613.5240032958982</v>
      </c>
      <c r="CM321" s="133">
        <f t="shared" si="3475"/>
        <v>-1702.0373366292315</v>
      </c>
      <c r="CN321" s="133">
        <f t="shared" si="3475"/>
        <v>-1790.5506699625648</v>
      </c>
      <c r="CO321" s="133">
        <f t="shared" si="3475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76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77"/>
        <v>0</v>
      </c>
      <c r="DB321" s="4">
        <f t="shared" si="3478"/>
        <v>0</v>
      </c>
      <c r="DC321" s="4">
        <f t="shared" si="3479"/>
        <v>0</v>
      </c>
      <c r="DD321" s="136">
        <f t="shared" si="3480"/>
        <v>0</v>
      </c>
      <c r="DE321" s="31">
        <v>0</v>
      </c>
      <c r="DF321" s="31">
        <v>30</v>
      </c>
      <c r="DG321" s="31">
        <v>100</v>
      </c>
      <c r="DH321" s="48">
        <f t="shared" si="3481"/>
        <v>1</v>
      </c>
      <c r="DI321" s="62">
        <v>16.129000000000001</v>
      </c>
      <c r="DJ321" s="62">
        <v>4516.1289999999999</v>
      </c>
      <c r="DK321" s="48">
        <f t="shared" si="3482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83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84"/>
        <v>1</v>
      </c>
      <c r="DV321" s="62">
        <v>148.40800000000004</v>
      </c>
      <c r="DW321" s="62">
        <v>41554.239999999991</v>
      </c>
      <c r="DX321" s="62">
        <f t="shared" si="3485"/>
        <v>23.65</v>
      </c>
      <c r="DY321" s="62">
        <f t="shared" si="3486"/>
        <v>6622</v>
      </c>
      <c r="DZ321" s="48">
        <f t="shared" si="3487"/>
        <v>1</v>
      </c>
      <c r="EA321" s="62">
        <f t="shared" si="3488"/>
        <v>76.959999999999994</v>
      </c>
      <c r="EB321" s="62">
        <f t="shared" si="3489"/>
        <v>21548.799999999999</v>
      </c>
      <c r="EC321" s="48">
        <f t="shared" si="3490"/>
        <v>1</v>
      </c>
      <c r="ED321" s="62">
        <f t="shared" si="3491"/>
        <v>108.04</v>
      </c>
      <c r="EE321" s="62">
        <f t="shared" si="3492"/>
        <v>30251.200000000001</v>
      </c>
      <c r="EF321" s="48">
        <f t="shared" si="3493"/>
        <v>1</v>
      </c>
      <c r="EG321" s="62">
        <f t="shared" si="3494"/>
        <v>107.27</v>
      </c>
      <c r="EH321" s="62">
        <f t="shared" si="3495"/>
        <v>30035.599999999999</v>
      </c>
      <c r="EI321" s="48">
        <f t="shared" si="3496"/>
        <v>1</v>
      </c>
      <c r="EJ321" s="62">
        <f t="shared" si="3497"/>
        <v>107.31</v>
      </c>
      <c r="EK321" s="62">
        <f t="shared" si="3498"/>
        <v>30046.799999999999</v>
      </c>
      <c r="EL321" s="48">
        <f t="shared" si="3499"/>
        <v>1</v>
      </c>
      <c r="EM321" s="62">
        <f t="shared" si="3500"/>
        <v>107.85</v>
      </c>
      <c r="EN321" s="62">
        <f t="shared" si="3501"/>
        <v>30198</v>
      </c>
      <c r="EO321" s="48">
        <f t="shared" si="3502"/>
        <v>1</v>
      </c>
      <c r="EP321" s="62">
        <f t="shared" si="3503"/>
        <v>6622</v>
      </c>
      <c r="EQ321" s="62">
        <f t="shared" si="3503"/>
        <v>21548.799999999999</v>
      </c>
      <c r="ER321" s="62">
        <f t="shared" si="3503"/>
        <v>30251.200000000001</v>
      </c>
      <c r="ES321" s="62">
        <f t="shared" si="3503"/>
        <v>30035.599999999999</v>
      </c>
      <c r="ET321" s="62">
        <f t="shared" si="3503"/>
        <v>30046.799999999999</v>
      </c>
      <c r="EU321" s="62">
        <f t="shared" si="3503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504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 t="shared" si="3026"/>
        <v>0</v>
      </c>
      <c r="FS321" s="103" t="b">
        <f t="shared" si="3027"/>
        <v>1</v>
      </c>
      <c r="FT321" s="103" t="b">
        <f t="shared" si="3028"/>
        <v>0</v>
      </c>
      <c r="FU321" s="103" t="b">
        <f t="shared" si="3029"/>
        <v>0</v>
      </c>
      <c r="FV321" s="103" t="b">
        <f t="shared" si="3030"/>
        <v>1</v>
      </c>
      <c r="FW321" s="104" t="b">
        <f t="shared" si="3036"/>
        <v>0</v>
      </c>
      <c r="FX321" s="120" t="b">
        <f t="shared" si="3505"/>
        <v>1</v>
      </c>
      <c r="FY321" s="104" t="s">
        <v>368</v>
      </c>
      <c r="FZ321" s="104" t="b">
        <f t="shared" si="3506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507"/>
        <v>1</v>
      </c>
      <c r="GI321" s="8" t="b">
        <f t="shared" si="3508"/>
        <v>0</v>
      </c>
      <c r="GJ321" s="31" t="s">
        <v>203</v>
      </c>
    </row>
    <row r="322" spans="1:192" hidden="1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52"/>
        <v>нет минмакс</v>
      </c>
      <c r="Q322" s="95">
        <v>7138</v>
      </c>
      <c r="R322" s="95">
        <f t="shared" si="3453"/>
        <v>21628.14</v>
      </c>
      <c r="S322" s="114">
        <v>7260</v>
      </c>
      <c r="T322" s="114">
        <v>22506</v>
      </c>
      <c r="U322" s="131">
        <f t="shared" si="3454"/>
        <v>1</v>
      </c>
      <c r="V322" s="115">
        <f t="shared" si="3455"/>
        <v>13584</v>
      </c>
      <c r="W322" s="115">
        <f t="shared" si="3456"/>
        <v>41159.519999999997</v>
      </c>
      <c r="X322" s="115">
        <f t="shared" si="3457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58"/>
        <v>0</v>
      </c>
      <c r="AF322" s="95">
        <f t="shared" si="3459"/>
        <v>0</v>
      </c>
      <c r="AG322" s="114">
        <v>0</v>
      </c>
      <c r="AH322" s="95">
        <f t="shared" si="3460"/>
        <v>13584</v>
      </c>
      <c r="AI322" s="114">
        <f t="shared" si="3461"/>
        <v>41159.519999999997</v>
      </c>
      <c r="AJ322" s="114">
        <f t="shared" si="3462"/>
        <v>4616</v>
      </c>
      <c r="AK322" s="114">
        <f t="shared" si="3463"/>
        <v>18664</v>
      </c>
      <c r="AL322" s="114">
        <f t="shared" si="3464"/>
        <v>28624</v>
      </c>
      <c r="AM322" s="114">
        <f t="shared" si="3465"/>
        <v>61156</v>
      </c>
      <c r="AN322" s="133">
        <f t="shared" si="3466"/>
        <v>21.368304009418537</v>
      </c>
      <c r="AO322" s="133" t="str">
        <f t="shared" si="3467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68"/>
        <v>0-02</v>
      </c>
      <c r="AW322" s="126">
        <f t="shared" si="3469"/>
        <v>0</v>
      </c>
      <c r="AX322" s="138"/>
      <c r="AY322" s="115">
        <f t="shared" si="3470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71"/>
        <v>0</v>
      </c>
      <c r="BG322" s="32">
        <v>0</v>
      </c>
      <c r="BH322" s="32">
        <f t="shared" si="3472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73"/>
        <v>10192.666666666666</v>
      </c>
      <c r="BR322" s="95">
        <f t="shared" si="3474"/>
        <v>588</v>
      </c>
      <c r="BS322" s="133">
        <f t="shared" si="3445"/>
        <v>-4956</v>
      </c>
      <c r="BT322" s="133">
        <f t="shared" si="3445"/>
        <v>-15055</v>
      </c>
      <c r="BU322" s="133">
        <f t="shared" si="3445"/>
        <v>-31132</v>
      </c>
      <c r="BV322" s="133">
        <f t="shared" si="3445"/>
        <v>-42025</v>
      </c>
      <c r="BW322" s="133">
        <f t="shared" si="3445"/>
        <v>-47572</v>
      </c>
      <c r="BX322" s="133">
        <f t="shared" si="3475"/>
        <v>-57764.666666666664</v>
      </c>
      <c r="BY322" s="133">
        <f t="shared" si="3475"/>
        <v>-67957.333333333328</v>
      </c>
      <c r="BZ322" s="133">
        <f t="shared" si="3475"/>
        <v>-78150</v>
      </c>
      <c r="CA322" s="133">
        <f t="shared" si="3475"/>
        <v>-88342.666666666672</v>
      </c>
      <c r="CB322" s="133">
        <f t="shared" si="3475"/>
        <v>-98535.333333333343</v>
      </c>
      <c r="CC322" s="133">
        <f t="shared" si="3475"/>
        <v>-108728.00000000001</v>
      </c>
      <c r="CD322" s="133">
        <f t="shared" si="3475"/>
        <v>-118920.66666666669</v>
      </c>
      <c r="CE322" s="133">
        <f t="shared" si="3475"/>
        <v>-129113.33333333336</v>
      </c>
      <c r="CF322" s="133">
        <f t="shared" si="3475"/>
        <v>-139306.00000000003</v>
      </c>
      <c r="CG322" s="133">
        <f t="shared" si="3475"/>
        <v>-149498.66666666669</v>
      </c>
      <c r="CH322" s="133">
        <f t="shared" si="3475"/>
        <v>-159691.33333333334</v>
      </c>
      <c r="CI322" s="133">
        <f t="shared" si="3475"/>
        <v>-169884</v>
      </c>
      <c r="CJ322" s="133">
        <f t="shared" si="3475"/>
        <v>-180076.66666666666</v>
      </c>
      <c r="CK322" s="133">
        <f t="shared" si="3475"/>
        <v>-190269.33333333331</v>
      </c>
      <c r="CL322" s="133">
        <f t="shared" si="3475"/>
        <v>-200461.99999999997</v>
      </c>
      <c r="CM322" s="133">
        <f t="shared" si="3475"/>
        <v>-210654.66666666663</v>
      </c>
      <c r="CN322" s="133">
        <f t="shared" si="3475"/>
        <v>-220847.33333333328</v>
      </c>
      <c r="CO322" s="133">
        <f t="shared" si="3475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76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77"/>
        <v>0</v>
      </c>
      <c r="DB322" s="4">
        <f t="shared" si="3478"/>
        <v>0</v>
      </c>
      <c r="DC322" s="4">
        <f t="shared" si="3479"/>
        <v>0</v>
      </c>
      <c r="DD322" s="136">
        <f t="shared" si="3480"/>
        <v>0</v>
      </c>
      <c r="DE322" s="31">
        <v>0</v>
      </c>
      <c r="DG322" s="31">
        <v>0</v>
      </c>
      <c r="DH322" s="48">
        <f t="shared" si="3481"/>
        <v>0</v>
      </c>
      <c r="DI322" s="62">
        <v>2306.0330000000004</v>
      </c>
      <c r="DJ322" s="62">
        <v>7100.5789999999997</v>
      </c>
      <c r="DK322" s="48">
        <f t="shared" si="3482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83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84"/>
        <v>1</v>
      </c>
      <c r="DV322" s="62">
        <v>9542</v>
      </c>
      <c r="DW322" s="62">
        <v>29296.677279809366</v>
      </c>
      <c r="DX322" s="62">
        <f t="shared" si="3485"/>
        <v>0</v>
      </c>
      <c r="DY322" s="62">
        <f t="shared" si="3486"/>
        <v>0</v>
      </c>
      <c r="DZ322" s="48">
        <f t="shared" si="3487"/>
        <v>0</v>
      </c>
      <c r="EA322" s="62">
        <f t="shared" si="3488"/>
        <v>0</v>
      </c>
      <c r="EB322" s="62">
        <f t="shared" si="3489"/>
        <v>0</v>
      </c>
      <c r="EC322" s="48">
        <f t="shared" si="3490"/>
        <v>0</v>
      </c>
      <c r="ED322" s="62">
        <f t="shared" si="3491"/>
        <v>0</v>
      </c>
      <c r="EE322" s="62">
        <f t="shared" si="3492"/>
        <v>0</v>
      </c>
      <c r="EF322" s="48">
        <f t="shared" si="3493"/>
        <v>0</v>
      </c>
      <c r="EG322" s="62">
        <f t="shared" si="3494"/>
        <v>0</v>
      </c>
      <c r="EH322" s="62">
        <f t="shared" si="3495"/>
        <v>0</v>
      </c>
      <c r="EI322" s="48">
        <f t="shared" si="3496"/>
        <v>0</v>
      </c>
      <c r="EJ322" s="62">
        <f t="shared" si="3497"/>
        <v>0</v>
      </c>
      <c r="EK322" s="62">
        <f t="shared" si="3498"/>
        <v>0</v>
      </c>
      <c r="EL322" s="48">
        <f t="shared" si="3499"/>
        <v>0</v>
      </c>
      <c r="EM322" s="62">
        <f t="shared" si="3500"/>
        <v>0</v>
      </c>
      <c r="EN322" s="62">
        <f t="shared" si="3501"/>
        <v>0</v>
      </c>
      <c r="EO322" s="48">
        <f t="shared" si="3502"/>
        <v>0</v>
      </c>
      <c r="EP322" s="62">
        <f t="shared" si="3503"/>
        <v>39377.879999999997</v>
      </c>
      <c r="EQ322" s="62">
        <f t="shared" si="3503"/>
        <v>16798.32</v>
      </c>
      <c r="ER322" s="62">
        <f t="shared" si="3503"/>
        <v>30599.969999999998</v>
      </c>
      <c r="ES322" s="62">
        <f t="shared" si="3503"/>
        <v>48713.31</v>
      </c>
      <c r="ET322" s="62">
        <f t="shared" si="3503"/>
        <v>33005.79</v>
      </c>
      <c r="EU322" s="62">
        <f t="shared" si="3503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504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 t="shared" si="3026"/>
        <v>1</v>
      </c>
      <c r="FS322" s="120" t="b">
        <f t="shared" si="3027"/>
        <v>1</v>
      </c>
      <c r="FT322" s="120" t="b">
        <f t="shared" si="3028"/>
        <v>1</v>
      </c>
      <c r="FU322" s="120" t="b">
        <f t="shared" si="3029"/>
        <v>1</v>
      </c>
      <c r="FV322" s="120" t="b">
        <f t="shared" si="3030"/>
        <v>1</v>
      </c>
      <c r="FW322" s="104" t="b">
        <f t="shared" si="3036"/>
        <v>0</v>
      </c>
      <c r="FX322" s="120" t="b">
        <f t="shared" si="3505"/>
        <v>1</v>
      </c>
      <c r="FY322" s="104" t="s">
        <v>368</v>
      </c>
      <c r="FZ322" s="104" t="b">
        <f t="shared" si="3506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507"/>
        <v>1</v>
      </c>
      <c r="GI322" s="8" t="b">
        <f t="shared" si="3508"/>
        <v>0</v>
      </c>
      <c r="GJ322" s="31" t="s">
        <v>203</v>
      </c>
    </row>
    <row r="323" spans="1:192" ht="30" hidden="1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52"/>
        <v>нет минмакс</v>
      </c>
      <c r="Q323" s="95">
        <v>3.5999999046325684</v>
      </c>
      <c r="R323" s="95">
        <f t="shared" si="3453"/>
        <v>542.48398562908176</v>
      </c>
      <c r="S323" s="114">
        <v>140.33999633789063</v>
      </c>
      <c r="T323" s="114">
        <v>21080.470849914553</v>
      </c>
      <c r="U323" s="131">
        <f t="shared" si="3454"/>
        <v>0</v>
      </c>
      <c r="V323" s="115">
        <f t="shared" si="3455"/>
        <v>382.40000152587891</v>
      </c>
      <c r="W323" s="115">
        <f t="shared" si="3456"/>
        <v>57623.856229934689</v>
      </c>
      <c r="X323" s="115">
        <f t="shared" si="3457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58"/>
        <v>0</v>
      </c>
      <c r="AF323" s="95">
        <f t="shared" si="3459"/>
        <v>0</v>
      </c>
      <c r="AG323" s="114">
        <v>0</v>
      </c>
      <c r="AH323" s="95">
        <f t="shared" si="3460"/>
        <v>382.40000152587891</v>
      </c>
      <c r="AI323" s="114">
        <f t="shared" si="3461"/>
        <v>57623.856229934689</v>
      </c>
      <c r="AJ323" s="114">
        <f t="shared" si="3462"/>
        <v>9</v>
      </c>
      <c r="AK323" s="114">
        <f t="shared" si="3463"/>
        <v>149</v>
      </c>
      <c r="AL323" s="114">
        <f t="shared" si="3464"/>
        <v>190</v>
      </c>
      <c r="AM323" s="114">
        <f t="shared" si="3465"/>
        <v>0</v>
      </c>
      <c r="AN323" s="133" t="str">
        <f t="shared" si="3466"/>
        <v>нет оборота</v>
      </c>
      <c r="AO323" s="133" t="str">
        <f t="shared" si="3467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68"/>
        <v>Нет планов</v>
      </c>
      <c r="AW323" s="126">
        <f t="shared" si="3469"/>
        <v>57623.856229934689</v>
      </c>
      <c r="AX323" s="138"/>
      <c r="AY323" s="115">
        <f t="shared" si="3470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71"/>
        <v>0</v>
      </c>
      <c r="BG323" s="32">
        <v>0</v>
      </c>
      <c r="BH323" s="32">
        <f t="shared" si="3472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73"/>
        <v>0</v>
      </c>
      <c r="BR323" s="95">
        <f t="shared" si="3474"/>
        <v>382.40000152587891</v>
      </c>
      <c r="BS323" s="133">
        <f t="shared" si="3445"/>
        <v>382.40000152587891</v>
      </c>
      <c r="BT323" s="133">
        <f t="shared" si="3445"/>
        <v>382.40000152587891</v>
      </c>
      <c r="BU323" s="133">
        <f t="shared" si="3445"/>
        <v>382.40000152587891</v>
      </c>
      <c r="BV323" s="133">
        <f t="shared" si="3445"/>
        <v>382.40000152587891</v>
      </c>
      <c r="BW323" s="133">
        <f t="shared" si="3445"/>
        <v>382.40000152587891</v>
      </c>
      <c r="BX323" s="133">
        <f t="shared" ref="BX323:CO323" si="3509">BW323-$BQ323</f>
        <v>382.40000152587891</v>
      </c>
      <c r="BY323" s="133">
        <f t="shared" si="3509"/>
        <v>382.40000152587891</v>
      </c>
      <c r="BZ323" s="133">
        <f t="shared" si="3509"/>
        <v>382.40000152587891</v>
      </c>
      <c r="CA323" s="133">
        <f t="shared" si="3509"/>
        <v>382.40000152587891</v>
      </c>
      <c r="CB323" s="133">
        <f t="shared" si="3509"/>
        <v>382.40000152587891</v>
      </c>
      <c r="CC323" s="133">
        <f t="shared" si="3509"/>
        <v>382.40000152587891</v>
      </c>
      <c r="CD323" s="133">
        <f t="shared" si="3509"/>
        <v>382.40000152587891</v>
      </c>
      <c r="CE323" s="133">
        <f t="shared" si="3509"/>
        <v>382.40000152587891</v>
      </c>
      <c r="CF323" s="133">
        <f t="shared" si="3509"/>
        <v>382.40000152587891</v>
      </c>
      <c r="CG323" s="133">
        <f t="shared" si="3509"/>
        <v>382.40000152587891</v>
      </c>
      <c r="CH323" s="133">
        <f t="shared" si="3509"/>
        <v>382.40000152587891</v>
      </c>
      <c r="CI323" s="133">
        <f t="shared" si="3509"/>
        <v>382.40000152587891</v>
      </c>
      <c r="CJ323" s="133">
        <f t="shared" si="3509"/>
        <v>382.40000152587891</v>
      </c>
      <c r="CK323" s="133">
        <f t="shared" si="3509"/>
        <v>382.40000152587891</v>
      </c>
      <c r="CL323" s="133">
        <f t="shared" si="3509"/>
        <v>382.40000152587891</v>
      </c>
      <c r="CM323" s="133">
        <f t="shared" si="3509"/>
        <v>382.40000152587891</v>
      </c>
      <c r="CN323" s="133">
        <f t="shared" si="3509"/>
        <v>382.40000152587891</v>
      </c>
      <c r="CO323" s="133">
        <f t="shared" si="3509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76"/>
        <v>63.333333333333336</v>
      </c>
      <c r="DE323" s="31">
        <v>0</v>
      </c>
      <c r="DG323" s="31">
        <v>0</v>
      </c>
      <c r="DH323" s="48">
        <f t="shared" si="3481"/>
        <v>0</v>
      </c>
      <c r="DI323" s="62">
        <v>6.6580000000000004</v>
      </c>
      <c r="DJ323" s="62">
        <v>1003.237</v>
      </c>
      <c r="DK323" s="48">
        <f t="shared" si="3482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83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84"/>
        <v>0</v>
      </c>
      <c r="DV323" s="62">
        <v>0</v>
      </c>
      <c r="DW323" s="62">
        <v>0</v>
      </c>
      <c r="DX323" s="62">
        <f t="shared" si="3485"/>
        <v>0</v>
      </c>
      <c r="DY323" s="62">
        <f t="shared" si="3486"/>
        <v>0</v>
      </c>
      <c r="DZ323" s="48">
        <f t="shared" si="3487"/>
        <v>0</v>
      </c>
      <c r="EA323" s="62">
        <f t="shared" si="3488"/>
        <v>0</v>
      </c>
      <c r="EB323" s="62">
        <f t="shared" si="3489"/>
        <v>0</v>
      </c>
      <c r="EC323" s="48">
        <f t="shared" si="3490"/>
        <v>0</v>
      </c>
      <c r="ED323" s="62">
        <f t="shared" si="3491"/>
        <v>0</v>
      </c>
      <c r="EE323" s="62">
        <f t="shared" si="3492"/>
        <v>0</v>
      </c>
      <c r="EF323" s="48">
        <f t="shared" si="3493"/>
        <v>0</v>
      </c>
      <c r="EG323" s="62">
        <f t="shared" si="3494"/>
        <v>0</v>
      </c>
      <c r="EH323" s="62">
        <f t="shared" si="3495"/>
        <v>0</v>
      </c>
      <c r="EI323" s="48">
        <f t="shared" si="3496"/>
        <v>0</v>
      </c>
      <c r="EJ323" s="62">
        <f t="shared" si="3497"/>
        <v>0</v>
      </c>
      <c r="EK323" s="62">
        <f t="shared" si="3498"/>
        <v>0</v>
      </c>
      <c r="EL323" s="48">
        <f t="shared" si="3499"/>
        <v>0</v>
      </c>
      <c r="EM323" s="62">
        <f t="shared" si="3500"/>
        <v>0</v>
      </c>
      <c r="EN323" s="62">
        <f t="shared" si="3501"/>
        <v>0</v>
      </c>
      <c r="EO323" s="48">
        <f t="shared" si="3502"/>
        <v>0</v>
      </c>
      <c r="EP323" s="62">
        <f t="shared" si="3503"/>
        <v>0</v>
      </c>
      <c r="EQ323" s="62">
        <f t="shared" si="3503"/>
        <v>0</v>
      </c>
      <c r="ER323" s="62">
        <f t="shared" si="3503"/>
        <v>0</v>
      </c>
      <c r="ES323" s="62">
        <f t="shared" si="3503"/>
        <v>0</v>
      </c>
      <c r="ET323" s="62">
        <f t="shared" si="3503"/>
        <v>0</v>
      </c>
      <c r="EU323" s="62">
        <f t="shared" si="3503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504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 t="shared" si="3026"/>
        <v>1</v>
      </c>
      <c r="FS323" s="120" t="b">
        <f t="shared" si="3027"/>
        <v>1</v>
      </c>
      <c r="FT323" s="120" t="b">
        <f t="shared" si="3028"/>
        <v>1</v>
      </c>
      <c r="FU323" s="120" t="b">
        <f t="shared" si="3029"/>
        <v>1</v>
      </c>
      <c r="FV323" s="120" t="b">
        <f t="shared" si="3030"/>
        <v>1</v>
      </c>
      <c r="FW323" s="104" t="b">
        <f t="shared" si="3036"/>
        <v>0</v>
      </c>
      <c r="FX323" s="120" t="b">
        <f t="shared" si="3505"/>
        <v>1</v>
      </c>
      <c r="FY323" s="104" t="s">
        <v>368</v>
      </c>
      <c r="FZ323" s="104" t="b">
        <f t="shared" si="3506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507"/>
        <v>1</v>
      </c>
      <c r="GI323" s="8" t="b">
        <f t="shared" si="3508"/>
        <v>0</v>
      </c>
      <c r="GJ323" s="31" t="s">
        <v>203</v>
      </c>
    </row>
    <row r="324" spans="1:192" hidden="1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52"/>
        <v>нет минмакс</v>
      </c>
      <c r="Q324" s="95">
        <v>2287</v>
      </c>
      <c r="R324" s="95">
        <f t="shared" si="3453"/>
        <v>10863.25</v>
      </c>
      <c r="S324" s="114">
        <v>4266</v>
      </c>
      <c r="T324" s="114">
        <v>20178.18</v>
      </c>
      <c r="U324" s="131">
        <f t="shared" si="3454"/>
        <v>1</v>
      </c>
      <c r="V324" s="115">
        <f t="shared" si="3455"/>
        <v>20665</v>
      </c>
      <c r="W324" s="115">
        <f t="shared" si="3456"/>
        <v>98158.75</v>
      </c>
      <c r="X324" s="115">
        <f t="shared" si="3457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58"/>
        <v>0</v>
      </c>
      <c r="AF324" s="95">
        <f t="shared" si="3459"/>
        <v>0</v>
      </c>
      <c r="AG324" s="114">
        <v>0</v>
      </c>
      <c r="AH324" s="95">
        <f t="shared" si="3460"/>
        <v>20665</v>
      </c>
      <c r="AI324" s="114">
        <f t="shared" si="3461"/>
        <v>98158.75</v>
      </c>
      <c r="AJ324" s="114">
        <f t="shared" si="3462"/>
        <v>35876</v>
      </c>
      <c r="AK324" s="114">
        <f t="shared" si="3463"/>
        <v>103357</v>
      </c>
      <c r="AL324" s="114">
        <f t="shared" si="3464"/>
        <v>180275</v>
      </c>
      <c r="AM324" s="114">
        <f t="shared" si="3465"/>
        <v>225444</v>
      </c>
      <c r="AN324" s="133">
        <f t="shared" si="3466"/>
        <v>3.4060786714217279</v>
      </c>
      <c r="AO324" s="133" t="str">
        <f t="shared" si="3467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68"/>
        <v>0-01</v>
      </c>
      <c r="AW324" s="126">
        <f t="shared" si="3469"/>
        <v>0</v>
      </c>
      <c r="AX324" s="138"/>
      <c r="AY324" s="115">
        <f t="shared" si="3470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71"/>
        <v>0</v>
      </c>
      <c r="BG324" s="32">
        <v>0</v>
      </c>
      <c r="BH324" s="32">
        <f t="shared" si="3472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73"/>
        <v>37574</v>
      </c>
      <c r="BR324" s="95">
        <f t="shared" si="3474"/>
        <v>-12361</v>
      </c>
      <c r="BS324" s="133">
        <f t="shared" ref="BS324:BW326" si="3510">BR324-BL324</f>
        <v>-49282</v>
      </c>
      <c r="BT324" s="133">
        <f t="shared" si="3510"/>
        <v>-88591</v>
      </c>
      <c r="BU324" s="133">
        <f t="shared" si="3510"/>
        <v>-133127</v>
      </c>
      <c r="BV324" s="133">
        <f t="shared" si="3510"/>
        <v>-169854</v>
      </c>
      <c r="BW324" s="133">
        <f t="shared" si="3510"/>
        <v>-204779</v>
      </c>
      <c r="BX324" s="133">
        <f t="shared" ref="BX324:CO324" si="3511">BW324-$BQ324</f>
        <v>-242353</v>
      </c>
      <c r="BY324" s="133">
        <f t="shared" si="3511"/>
        <v>-279927</v>
      </c>
      <c r="BZ324" s="133">
        <f t="shared" si="3511"/>
        <v>-317501</v>
      </c>
      <c r="CA324" s="133">
        <f t="shared" si="3511"/>
        <v>-355075</v>
      </c>
      <c r="CB324" s="133">
        <f t="shared" si="3511"/>
        <v>-392649</v>
      </c>
      <c r="CC324" s="133">
        <f t="shared" si="3511"/>
        <v>-430223</v>
      </c>
      <c r="CD324" s="133">
        <f t="shared" si="3511"/>
        <v>-467797</v>
      </c>
      <c r="CE324" s="133">
        <f t="shared" si="3511"/>
        <v>-505371</v>
      </c>
      <c r="CF324" s="133">
        <f t="shared" si="3511"/>
        <v>-542945</v>
      </c>
      <c r="CG324" s="133">
        <f t="shared" si="3511"/>
        <v>-580519</v>
      </c>
      <c r="CH324" s="133">
        <f t="shared" si="3511"/>
        <v>-618093</v>
      </c>
      <c r="CI324" s="133">
        <f t="shared" si="3511"/>
        <v>-655667</v>
      </c>
      <c r="CJ324" s="133">
        <f t="shared" si="3511"/>
        <v>-693241</v>
      </c>
      <c r="CK324" s="133">
        <f t="shared" si="3511"/>
        <v>-730815</v>
      </c>
      <c r="CL324" s="133">
        <f t="shared" si="3511"/>
        <v>-768389</v>
      </c>
      <c r="CM324" s="133">
        <f t="shared" si="3511"/>
        <v>-805963</v>
      </c>
      <c r="CN324" s="133">
        <f t="shared" si="3511"/>
        <v>-843537</v>
      </c>
      <c r="CO324" s="133">
        <f t="shared" si="3511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76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512">IFERROR(CZ324/CY324,0)</f>
        <v>0</v>
      </c>
      <c r="DB324" s="4">
        <f t="shared" ref="DB324:DB326" si="3513">CY324*FH324</f>
        <v>0</v>
      </c>
      <c r="DC324" s="4">
        <f t="shared" ref="DC324:DC326" si="3514">CZ324*FH324</f>
        <v>855</v>
      </c>
      <c r="DD324" s="136">
        <f t="shared" ref="DD324:DD326" si="3515">IFERROR(DC324/DB324,0)</f>
        <v>0</v>
      </c>
      <c r="DE324" s="31">
        <v>0</v>
      </c>
      <c r="DG324" s="31">
        <v>0</v>
      </c>
      <c r="DH324" s="48">
        <f t="shared" si="3481"/>
        <v>0</v>
      </c>
      <c r="DI324" s="62">
        <v>21497.451999999997</v>
      </c>
      <c r="DJ324" s="62">
        <v>98612.140999999989</v>
      </c>
      <c r="DK324" s="48">
        <f t="shared" si="3482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83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84"/>
        <v>1</v>
      </c>
      <c r="DV324" s="62">
        <v>30931</v>
      </c>
      <c r="DW324" s="62">
        <v>142015.25426246019</v>
      </c>
      <c r="DX324" s="62">
        <f t="shared" si="3485"/>
        <v>0</v>
      </c>
      <c r="DY324" s="62">
        <f t="shared" si="3486"/>
        <v>0</v>
      </c>
      <c r="DZ324" s="48">
        <f t="shared" si="3487"/>
        <v>0</v>
      </c>
      <c r="EA324" s="62">
        <f t="shared" si="3488"/>
        <v>0</v>
      </c>
      <c r="EB324" s="62">
        <f t="shared" si="3489"/>
        <v>0</v>
      </c>
      <c r="EC324" s="48">
        <f t="shared" si="3490"/>
        <v>0</v>
      </c>
      <c r="ED324" s="62">
        <f t="shared" si="3491"/>
        <v>0</v>
      </c>
      <c r="EE324" s="62">
        <f t="shared" si="3492"/>
        <v>0</v>
      </c>
      <c r="EF324" s="48">
        <f t="shared" si="3493"/>
        <v>0</v>
      </c>
      <c r="EG324" s="62">
        <f t="shared" si="3494"/>
        <v>0</v>
      </c>
      <c r="EH324" s="62">
        <f t="shared" si="3495"/>
        <v>0</v>
      </c>
      <c r="EI324" s="48">
        <f t="shared" si="3496"/>
        <v>0</v>
      </c>
      <c r="EJ324" s="62">
        <f t="shared" si="3497"/>
        <v>0</v>
      </c>
      <c r="EK324" s="62">
        <f t="shared" si="3498"/>
        <v>0</v>
      </c>
      <c r="EL324" s="48">
        <f t="shared" si="3499"/>
        <v>0</v>
      </c>
      <c r="EM324" s="62">
        <f t="shared" si="3500"/>
        <v>0</v>
      </c>
      <c r="EN324" s="62">
        <f t="shared" si="3501"/>
        <v>0</v>
      </c>
      <c r="EO324" s="48">
        <f t="shared" si="3502"/>
        <v>0</v>
      </c>
      <c r="EP324" s="62">
        <f t="shared" ref="EP324:ER326" si="3516">BK324*$FH324</f>
        <v>156873.5</v>
      </c>
      <c r="EQ324" s="62">
        <f t="shared" si="3516"/>
        <v>175374.75</v>
      </c>
      <c r="ER324" s="62">
        <f t="shared" si="3516"/>
        <v>186717.75</v>
      </c>
      <c r="ES324" s="62">
        <f t="shared" ref="ES324:EU326" si="3517">BN324*$FH324</f>
        <v>211546</v>
      </c>
      <c r="ET324" s="62">
        <f t="shared" si="3517"/>
        <v>174453.25</v>
      </c>
      <c r="EU324" s="62">
        <f t="shared" si="3517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504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 t="shared" si="3026"/>
        <v>1</v>
      </c>
      <c r="FS324" s="120" t="b">
        <f t="shared" si="3027"/>
        <v>1</v>
      </c>
      <c r="FT324" s="120" t="b">
        <f t="shared" si="3028"/>
        <v>1</v>
      </c>
      <c r="FU324" s="120" t="b">
        <f t="shared" si="3029"/>
        <v>1</v>
      </c>
      <c r="FV324" s="120" t="b">
        <f t="shared" si="3030"/>
        <v>1</v>
      </c>
      <c r="FW324" s="104" t="b">
        <f t="shared" si="3036"/>
        <v>0</v>
      </c>
      <c r="FX324" s="120" t="b">
        <f t="shared" si="3505"/>
        <v>1</v>
      </c>
      <c r="FY324" s="104" t="s">
        <v>368</v>
      </c>
      <c r="FZ324" s="104" t="b">
        <f t="shared" si="3506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507"/>
        <v>1</v>
      </c>
      <c r="GI324" s="8" t="b">
        <f t="shared" si="3508"/>
        <v>0</v>
      </c>
      <c r="GJ324" s="31" t="s">
        <v>203</v>
      </c>
    </row>
    <row r="325" spans="1:192" hidden="1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518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519">Q325*FH325</f>
        <v>3697.2</v>
      </c>
      <c r="S325" s="114">
        <v>16175</v>
      </c>
      <c r="T325" s="114">
        <v>18116</v>
      </c>
      <c r="U325" s="131">
        <f t="shared" ref="U325:U326" si="3520">IFERROR(ROUNDUP(S325/$EX325,0)*$EY325,0)</f>
        <v>1</v>
      </c>
      <c r="V325" s="115">
        <f t="shared" si="3455"/>
        <v>13286</v>
      </c>
      <c r="W325" s="115">
        <f t="shared" ref="W325:W326" si="3521">V325*FH325</f>
        <v>15544.619999999999</v>
      </c>
      <c r="X325" s="115">
        <f t="shared" ref="X325:X326" si="3522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523">AA325*FH325</f>
        <v>0</v>
      </c>
      <c r="AF325" s="95">
        <f t="shared" ref="AF325:AF326" si="3524">AB325*FH325</f>
        <v>0</v>
      </c>
      <c r="AG325" s="114">
        <v>0</v>
      </c>
      <c r="AH325" s="95">
        <f t="shared" ref="AH325:AH326" si="3525">V325-AG325</f>
        <v>13286</v>
      </c>
      <c r="AI325" s="114">
        <f t="shared" ref="AI325:AI326" si="3526">IF(AH325&gt;0,AH325*FH325,0)</f>
        <v>15544.619999999999</v>
      </c>
      <c r="AJ325" s="114">
        <f t="shared" ref="AJ325:AJ326" si="3527">CU325</f>
        <v>14009</v>
      </c>
      <c r="AK325" s="114">
        <f t="shared" si="3463"/>
        <v>31168</v>
      </c>
      <c r="AL325" s="114">
        <f t="shared" ref="AL325:AL326" si="3528">SUM(CP325:CU325)</f>
        <v>33575</v>
      </c>
      <c r="AM325" s="114">
        <f t="shared" ref="AM325:AM326" si="3529">SUM(BK325:BP325)</f>
        <v>89250</v>
      </c>
      <c r="AN325" s="133">
        <f t="shared" ref="AN325:AN326" si="3530">IFERROR(S325/BQ325*30,"нет оборота")</f>
        <v>32.621848739495796</v>
      </c>
      <c r="AO325" s="133" t="str">
        <f t="shared" ref="AO325:AO326" si="3531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32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33">IF(AT325="Да",W325,0)</f>
        <v>0</v>
      </c>
      <c r="AX325" s="138"/>
      <c r="AY325" s="115">
        <f t="shared" ref="AY325:AY326" si="3534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35">BE325*FH325</f>
        <v>0</v>
      </c>
      <c r="BG325" s="32">
        <v>0</v>
      </c>
      <c r="BH325" s="32">
        <f t="shared" ref="BH325:BH326" si="3536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37">IF(COUNTIF(BK325:BP325,"&gt;0")=0,0,SUM(BK325:BP325)/COUNTIF(BK325:BP325,"&gt;0"))</f>
        <v>14875</v>
      </c>
      <c r="BR325" s="95">
        <f t="shared" ref="BR325:BR326" si="3538">IF(OR(Q325=0,SUM(BK325:BP325)=0,V325&gt;Q325),V325-BK325,Q325-BK325)</f>
        <v>-2312</v>
      </c>
      <c r="BS325" s="133">
        <f t="shared" si="3510"/>
        <v>-17219</v>
      </c>
      <c r="BT325" s="133">
        <f t="shared" si="3510"/>
        <v>-34411</v>
      </c>
      <c r="BU325" s="133">
        <f t="shared" si="3510"/>
        <v>-51779</v>
      </c>
      <c r="BV325" s="133">
        <f t="shared" si="3510"/>
        <v>-64792</v>
      </c>
      <c r="BW325" s="133">
        <f t="shared" si="3510"/>
        <v>-75964</v>
      </c>
      <c r="BX325" s="133">
        <f t="shared" ref="BX325:CO326" si="3539">BW325-$BQ325</f>
        <v>-90839</v>
      </c>
      <c r="BY325" s="133">
        <f t="shared" si="3539"/>
        <v>-105714</v>
      </c>
      <c r="BZ325" s="133">
        <f t="shared" si="3539"/>
        <v>-120589</v>
      </c>
      <c r="CA325" s="133">
        <f t="shared" si="3539"/>
        <v>-135464</v>
      </c>
      <c r="CB325" s="133">
        <f t="shared" si="3539"/>
        <v>-150339</v>
      </c>
      <c r="CC325" s="133">
        <f t="shared" si="3539"/>
        <v>-165214</v>
      </c>
      <c r="CD325" s="133">
        <f t="shared" si="3539"/>
        <v>-180089</v>
      </c>
      <c r="CE325" s="133">
        <f t="shared" si="3539"/>
        <v>-194964</v>
      </c>
      <c r="CF325" s="133">
        <f t="shared" si="3539"/>
        <v>-209839</v>
      </c>
      <c r="CG325" s="133">
        <f t="shared" si="3539"/>
        <v>-224714</v>
      </c>
      <c r="CH325" s="133">
        <f t="shared" si="3539"/>
        <v>-239589</v>
      </c>
      <c r="CI325" s="133">
        <f t="shared" si="3539"/>
        <v>-254464</v>
      </c>
      <c r="CJ325" s="133">
        <f t="shared" si="3539"/>
        <v>-269339</v>
      </c>
      <c r="CK325" s="133">
        <f t="shared" si="3539"/>
        <v>-284214</v>
      </c>
      <c r="CL325" s="133">
        <f t="shared" si="3539"/>
        <v>-299089</v>
      </c>
      <c r="CM325" s="133">
        <f t="shared" si="3539"/>
        <v>-313964</v>
      </c>
      <c r="CN325" s="133">
        <f t="shared" si="3539"/>
        <v>-328839</v>
      </c>
      <c r="CO325" s="133">
        <f t="shared" si="3539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40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512"/>
        <v>0</v>
      </c>
      <c r="DB325" s="4">
        <f t="shared" si="3513"/>
        <v>0</v>
      </c>
      <c r="DC325" s="4">
        <f t="shared" si="3514"/>
        <v>0</v>
      </c>
      <c r="DD325" s="136">
        <f t="shared" si="3515"/>
        <v>0</v>
      </c>
      <c r="DE325" s="31">
        <v>0</v>
      </c>
      <c r="DG325" s="31">
        <v>0</v>
      </c>
      <c r="DH325" s="48">
        <f t="shared" ref="DH325:DH326" si="3541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42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43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44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45">$DF325*BK325/30</f>
        <v>0</v>
      </c>
      <c r="DY325" s="62">
        <f t="shared" ref="DY325:DY326" si="3546">DX325*$FH325</f>
        <v>0</v>
      </c>
      <c r="DZ325" s="48">
        <f t="shared" ref="DZ325:DZ326" si="3547">IFERROR(ROUNDUP(DX325/$EX325,0)*$EY325,0)</f>
        <v>0</v>
      </c>
      <c r="EA325" s="62">
        <f t="shared" ref="EA325:EA326" si="3548">$DF325*BL325/30</f>
        <v>0</v>
      </c>
      <c r="EB325" s="62">
        <f t="shared" ref="EB325:EB326" si="3549">EA325*$FH325</f>
        <v>0</v>
      </c>
      <c r="EC325" s="48">
        <f t="shared" ref="EC325:EC326" si="3550">IFERROR(ROUNDUP(EA325/$EX325,0)*$EY325,0)</f>
        <v>0</v>
      </c>
      <c r="ED325" s="62">
        <f t="shared" ref="ED325:ED326" si="3551">$DF325*BM325/30</f>
        <v>0</v>
      </c>
      <c r="EE325" s="62">
        <f t="shared" ref="EE325:EE326" si="3552">ED325*$FH325</f>
        <v>0</v>
      </c>
      <c r="EF325" s="48">
        <f t="shared" ref="EF325:EF326" si="3553">IFERROR(ROUNDUP(ED325/$EX325,0)*$EY325,0)</f>
        <v>0</v>
      </c>
      <c r="EG325" s="62">
        <f t="shared" ref="EG325:EG326" si="3554">$DF325*BN325/30</f>
        <v>0</v>
      </c>
      <c r="EH325" s="62">
        <f t="shared" ref="EH325:EH326" si="3555">EG325*$FH325</f>
        <v>0</v>
      </c>
      <c r="EI325" s="48">
        <f t="shared" ref="EI325:EI326" si="3556">IFERROR(ROUNDUP(EG325/$EX325,0)*$EY325,0)</f>
        <v>0</v>
      </c>
      <c r="EJ325" s="62">
        <f t="shared" ref="EJ325:EJ326" si="3557">$DF325*BO325/30</f>
        <v>0</v>
      </c>
      <c r="EK325" s="62">
        <f t="shared" ref="EK325:EK326" si="3558">EJ325*$FH325</f>
        <v>0</v>
      </c>
      <c r="EL325" s="48">
        <f t="shared" ref="EL325:EL326" si="3559">IFERROR(ROUNDUP(EJ325/$EX325,0)*$EY325,0)</f>
        <v>0</v>
      </c>
      <c r="EM325" s="62">
        <f t="shared" ref="EM325:EM326" si="3560">$DF325*BP325/30</f>
        <v>0</v>
      </c>
      <c r="EN325" s="62">
        <f t="shared" ref="EN325:EN326" si="3561">EM325*$FH325</f>
        <v>0</v>
      </c>
      <c r="EO325" s="48">
        <f t="shared" ref="EO325:EO326" si="3562">IFERROR(ROUNDUP(EM325/$EX325,0)*$EY325,0)</f>
        <v>0</v>
      </c>
      <c r="EP325" s="62">
        <f t="shared" si="3516"/>
        <v>18249.66</v>
      </c>
      <c r="EQ325" s="62">
        <f t="shared" si="3516"/>
        <v>17441.189999999999</v>
      </c>
      <c r="ER325" s="62">
        <f t="shared" si="3516"/>
        <v>20114.64</v>
      </c>
      <c r="ES325" s="62">
        <f t="shared" si="3517"/>
        <v>20320.559999999998</v>
      </c>
      <c r="ET325" s="62">
        <f t="shared" si="3517"/>
        <v>15225.21</v>
      </c>
      <c r="EU325" s="62">
        <f t="shared" si="3517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63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 t="shared" si="3026"/>
        <v>1</v>
      </c>
      <c r="FS325" s="120" t="b">
        <f t="shared" si="3027"/>
        <v>1</v>
      </c>
      <c r="FT325" s="120" t="b">
        <f t="shared" si="3028"/>
        <v>1</v>
      </c>
      <c r="FU325" s="120" t="b">
        <f t="shared" si="3029"/>
        <v>1</v>
      </c>
      <c r="FV325" s="120" t="b">
        <f t="shared" si="3030"/>
        <v>1</v>
      </c>
      <c r="FW325" s="104" t="b">
        <f t="shared" si="3036"/>
        <v>0</v>
      </c>
      <c r="FX325" s="120" t="b">
        <f t="shared" ref="FX325:FX326" si="3564">EXACT(FQ325,BI325)</f>
        <v>1</v>
      </c>
      <c r="FY325" s="104" t="s">
        <v>368</v>
      </c>
      <c r="FZ325" s="104" t="b">
        <f t="shared" ref="FZ325:FZ326" si="3565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66">EXACT(GD325,C325)</f>
        <v>1</v>
      </c>
      <c r="GI325" s="8" t="b">
        <f t="shared" ref="GI325:GI326" si="3567">EXACT(GG325,G325)</f>
        <v>0</v>
      </c>
      <c r="GJ325" s="31" t="s">
        <v>203</v>
      </c>
    </row>
    <row r="326" spans="1:192" hidden="1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518"/>
        <v>нет минмакс</v>
      </c>
      <c r="Q326" s="95">
        <v>8586</v>
      </c>
      <c r="R326" s="95">
        <f t="shared" si="3519"/>
        <v>39753.18</v>
      </c>
      <c r="S326" s="114">
        <v>3636</v>
      </c>
      <c r="T326" s="114">
        <v>17816.400000000001</v>
      </c>
      <c r="U326" s="131">
        <f t="shared" si="3520"/>
        <v>1</v>
      </c>
      <c r="V326" s="115">
        <f t="shared" ref="V326:V327" si="3568">SUM(Z326:AD326)</f>
        <v>6855</v>
      </c>
      <c r="W326" s="115">
        <f t="shared" si="3521"/>
        <v>31738.649999999998</v>
      </c>
      <c r="X326" s="115">
        <f t="shared" si="3522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523"/>
        <v>0</v>
      </c>
      <c r="AF326" s="95">
        <f t="shared" si="3524"/>
        <v>0</v>
      </c>
      <c r="AG326" s="114">
        <v>0</v>
      </c>
      <c r="AH326" s="95">
        <f t="shared" si="3525"/>
        <v>6855</v>
      </c>
      <c r="AI326" s="114">
        <f t="shared" si="3526"/>
        <v>31738.649999999998</v>
      </c>
      <c r="AJ326" s="114">
        <f t="shared" si="3527"/>
        <v>28470</v>
      </c>
      <c r="AK326" s="114">
        <f t="shared" ref="AK326:AK327" si="3569">SUM(CS326:CU326)</f>
        <v>58037</v>
      </c>
      <c r="AL326" s="114">
        <f t="shared" si="3528"/>
        <v>83497</v>
      </c>
      <c r="AM326" s="114">
        <f t="shared" si="3529"/>
        <v>159043</v>
      </c>
      <c r="AN326" s="133">
        <f t="shared" si="3530"/>
        <v>4.115113522757996</v>
      </c>
      <c r="AO326" s="133" t="str">
        <f t="shared" si="3531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32"/>
        <v>0-01</v>
      </c>
      <c r="AW326" s="126">
        <f t="shared" si="3533"/>
        <v>0</v>
      </c>
      <c r="AX326" s="138"/>
      <c r="AY326" s="115">
        <f t="shared" si="3534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35"/>
        <v>0</v>
      </c>
      <c r="BG326" s="32">
        <v>0</v>
      </c>
      <c r="BH326" s="32">
        <f t="shared" si="3536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37"/>
        <v>26507.166666666668</v>
      </c>
      <c r="BR326" s="95">
        <f t="shared" si="3538"/>
        <v>-17757</v>
      </c>
      <c r="BS326" s="133">
        <f t="shared" si="3510"/>
        <v>-44085</v>
      </c>
      <c r="BT326" s="133">
        <f t="shared" si="3510"/>
        <v>-71658</v>
      </c>
      <c r="BU326" s="133">
        <f t="shared" si="3510"/>
        <v>-98399</v>
      </c>
      <c r="BV326" s="133">
        <f t="shared" si="3510"/>
        <v>-125500</v>
      </c>
      <c r="BW326" s="133">
        <f t="shared" si="3510"/>
        <v>-150457</v>
      </c>
      <c r="BX326" s="133">
        <f t="shared" si="3539"/>
        <v>-176964.16666666666</v>
      </c>
      <c r="BY326" s="133">
        <f t="shared" si="3539"/>
        <v>-203471.33333333331</v>
      </c>
      <c r="BZ326" s="133">
        <f t="shared" si="3539"/>
        <v>-229978.49999999997</v>
      </c>
      <c r="CA326" s="133">
        <f t="shared" si="3539"/>
        <v>-256485.66666666663</v>
      </c>
      <c r="CB326" s="133">
        <f t="shared" si="3539"/>
        <v>-282992.83333333331</v>
      </c>
      <c r="CC326" s="133">
        <f t="shared" si="3539"/>
        <v>-309500</v>
      </c>
      <c r="CD326" s="133">
        <f t="shared" si="3539"/>
        <v>-336007.16666666669</v>
      </c>
      <c r="CE326" s="133">
        <f t="shared" si="3539"/>
        <v>-362514.33333333337</v>
      </c>
      <c r="CF326" s="133">
        <f t="shared" si="3539"/>
        <v>-389021.50000000006</v>
      </c>
      <c r="CG326" s="133">
        <f t="shared" si="3539"/>
        <v>-415528.66666666674</v>
      </c>
      <c r="CH326" s="133">
        <f t="shared" si="3539"/>
        <v>-442035.83333333343</v>
      </c>
      <c r="CI326" s="133">
        <f t="shared" si="3539"/>
        <v>-468543.00000000012</v>
      </c>
      <c r="CJ326" s="133">
        <f t="shared" si="3539"/>
        <v>-495050.1666666668</v>
      </c>
      <c r="CK326" s="133">
        <f t="shared" si="3539"/>
        <v>-521557.33333333349</v>
      </c>
      <c r="CL326" s="133">
        <f t="shared" si="3539"/>
        <v>-548064.50000000012</v>
      </c>
      <c r="CM326" s="133">
        <f t="shared" si="3539"/>
        <v>-574571.66666666674</v>
      </c>
      <c r="CN326" s="133">
        <f t="shared" si="3539"/>
        <v>-601078.83333333337</v>
      </c>
      <c r="CO326" s="133">
        <f t="shared" si="3539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40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512"/>
        <v>0</v>
      </c>
      <c r="DB326" s="4">
        <f t="shared" si="3513"/>
        <v>0</v>
      </c>
      <c r="DC326" s="4">
        <f t="shared" si="3514"/>
        <v>0</v>
      </c>
      <c r="DD326" s="136">
        <f t="shared" si="3515"/>
        <v>0</v>
      </c>
      <c r="DE326" s="31">
        <v>0</v>
      </c>
      <c r="DG326" s="31">
        <v>0</v>
      </c>
      <c r="DH326" s="48">
        <f t="shared" si="3541"/>
        <v>0</v>
      </c>
      <c r="DI326" s="62">
        <v>5583.8059999999996</v>
      </c>
      <c r="DJ326" s="62">
        <v>26749.718999999997</v>
      </c>
      <c r="DK326" s="48">
        <f t="shared" si="3542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43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44"/>
        <v>1</v>
      </c>
      <c r="DV326" s="62">
        <v>7593</v>
      </c>
      <c r="DW326" s="62">
        <v>36785.430628675866</v>
      </c>
      <c r="DX326" s="62">
        <f t="shared" si="3545"/>
        <v>0</v>
      </c>
      <c r="DY326" s="62">
        <f t="shared" si="3546"/>
        <v>0</v>
      </c>
      <c r="DZ326" s="48">
        <f t="shared" si="3547"/>
        <v>0</v>
      </c>
      <c r="EA326" s="62">
        <f t="shared" si="3548"/>
        <v>0</v>
      </c>
      <c r="EB326" s="62">
        <f t="shared" si="3549"/>
        <v>0</v>
      </c>
      <c r="EC326" s="48">
        <f t="shared" si="3550"/>
        <v>0</v>
      </c>
      <c r="ED326" s="62">
        <f t="shared" si="3551"/>
        <v>0</v>
      </c>
      <c r="EE326" s="62">
        <f t="shared" si="3552"/>
        <v>0</v>
      </c>
      <c r="EF326" s="48">
        <f t="shared" si="3553"/>
        <v>0</v>
      </c>
      <c r="EG326" s="62">
        <f t="shared" si="3554"/>
        <v>0</v>
      </c>
      <c r="EH326" s="62">
        <f t="shared" si="3555"/>
        <v>0</v>
      </c>
      <c r="EI326" s="48">
        <f t="shared" si="3556"/>
        <v>0</v>
      </c>
      <c r="EJ326" s="62">
        <f t="shared" si="3557"/>
        <v>0</v>
      </c>
      <c r="EK326" s="62">
        <f t="shared" si="3558"/>
        <v>0</v>
      </c>
      <c r="EL326" s="48">
        <f t="shared" si="3559"/>
        <v>0</v>
      </c>
      <c r="EM326" s="62">
        <f t="shared" si="3560"/>
        <v>0</v>
      </c>
      <c r="EN326" s="62">
        <f t="shared" si="3561"/>
        <v>0</v>
      </c>
      <c r="EO326" s="48">
        <f t="shared" si="3562"/>
        <v>0</v>
      </c>
      <c r="EP326" s="62">
        <f t="shared" si="3516"/>
        <v>121968.09</v>
      </c>
      <c r="EQ326" s="62">
        <f t="shared" si="3516"/>
        <v>121898.64</v>
      </c>
      <c r="ER326" s="62">
        <f t="shared" si="3516"/>
        <v>127662.98999999999</v>
      </c>
      <c r="ES326" s="62">
        <f t="shared" si="3517"/>
        <v>123810.83</v>
      </c>
      <c r="ET326" s="62">
        <f t="shared" si="3517"/>
        <v>125477.62999999999</v>
      </c>
      <c r="EU326" s="62">
        <f t="shared" si="3517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63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 t="shared" si="3026"/>
        <v>1</v>
      </c>
      <c r="FS326" s="120" t="b">
        <f t="shared" si="3027"/>
        <v>1</v>
      </c>
      <c r="FT326" s="120" t="b">
        <f t="shared" si="3028"/>
        <v>1</v>
      </c>
      <c r="FU326" s="120" t="b">
        <f t="shared" si="3029"/>
        <v>1</v>
      </c>
      <c r="FV326" s="120" t="b">
        <f t="shared" si="3030"/>
        <v>1</v>
      </c>
      <c r="FW326" s="104" t="b">
        <f t="shared" si="3036"/>
        <v>0</v>
      </c>
      <c r="FX326" s="120" t="b">
        <f t="shared" si="3564"/>
        <v>1</v>
      </c>
      <c r="FY326" s="104" t="s">
        <v>368</v>
      </c>
      <c r="FZ326" s="104" t="b">
        <f t="shared" si="3565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66"/>
        <v>1</v>
      </c>
      <c r="GI326" s="8" t="b">
        <f t="shared" si="3567"/>
        <v>0</v>
      </c>
      <c r="GJ326" s="31" t="s">
        <v>203</v>
      </c>
    </row>
    <row r="327" spans="1:192" hidden="1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70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71">Q327*FH327</f>
        <v>1112.96</v>
      </c>
      <c r="S327" s="114">
        <v>2452</v>
      </c>
      <c r="T327" s="114">
        <v>14491.32</v>
      </c>
      <c r="U327" s="131">
        <f t="shared" ref="U327:U331" si="3572">IFERROR(ROUNDUP(S327/$EX327,0)*$EY327,0)</f>
        <v>2</v>
      </c>
      <c r="V327" s="115">
        <f t="shared" si="3568"/>
        <v>188</v>
      </c>
      <c r="W327" s="115">
        <f t="shared" ref="W327:W331" si="3573">V327*FH327</f>
        <v>1112.96</v>
      </c>
      <c r="X327" s="115">
        <f t="shared" ref="X327:X331" si="3574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75">AA327*FH327</f>
        <v>0</v>
      </c>
      <c r="AF327" s="95">
        <f t="shared" ref="AF327:AF331" si="3576">AB327*FH327</f>
        <v>0</v>
      </c>
      <c r="AG327" s="114">
        <v>0</v>
      </c>
      <c r="AH327" s="95">
        <f t="shared" ref="AH327:AH331" si="3577">V327-AG327</f>
        <v>188</v>
      </c>
      <c r="AI327" s="114">
        <f t="shared" ref="AI327:AI331" si="3578">IF(AH327&gt;0,AH327*FH327,0)</f>
        <v>1112.96</v>
      </c>
      <c r="AJ327" s="114">
        <f t="shared" ref="AJ327:AJ331" si="3579">CU327</f>
        <v>400</v>
      </c>
      <c r="AK327" s="114">
        <f t="shared" si="3569"/>
        <v>13336</v>
      </c>
      <c r="AL327" s="114">
        <f t="shared" ref="AL327:AL331" si="3580">SUM(CP327:CU327)</f>
        <v>13336</v>
      </c>
      <c r="AM327" s="114">
        <f t="shared" ref="AM327:AM331" si="3581">SUM(BK327:BP327)</f>
        <v>0</v>
      </c>
      <c r="AN327" s="133" t="str">
        <f t="shared" ref="AN327:AN331" si="3582">IFERROR(S327/BQ327*30,"нет оборота")</f>
        <v>нет оборота</v>
      </c>
      <c r="AO327" s="133" t="str">
        <f t="shared" ref="AO327:AO331" si="3583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84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85">IF(AT327="Да",W327,0)</f>
        <v>1112.96</v>
      </c>
      <c r="AX327" s="138"/>
      <c r="AY327" s="115">
        <f t="shared" ref="AY327:AY331" si="3586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87">BE327*FH327</f>
        <v>0</v>
      </c>
      <c r="BG327" s="32">
        <v>0</v>
      </c>
      <c r="BH327" s="32">
        <f t="shared" ref="BH327:BH331" si="3588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89">IF(COUNTIF(BK327:BP327,"&gt;0")=0,0,SUM(BK327:BP327)/COUNTIF(BK327:BP327,"&gt;0"))</f>
        <v>0</v>
      </c>
      <c r="BR327" s="95">
        <f t="shared" ref="BR327:BR331" si="3590">IF(OR(Q327=0,SUM(BK327:BP327)=0,V327&gt;Q327),V327-BK327,Q327-BK327)</f>
        <v>188</v>
      </c>
      <c r="BS327" s="133">
        <f t="shared" ref="BS327:BW327" si="3591">BR327-BL327</f>
        <v>188</v>
      </c>
      <c r="BT327" s="133">
        <f t="shared" si="3591"/>
        <v>188</v>
      </c>
      <c r="BU327" s="133">
        <f t="shared" si="3591"/>
        <v>188</v>
      </c>
      <c r="BV327" s="133">
        <f t="shared" si="3591"/>
        <v>188</v>
      </c>
      <c r="BW327" s="133">
        <f t="shared" si="3591"/>
        <v>188</v>
      </c>
      <c r="BX327" s="133">
        <f t="shared" ref="BX327:CO327" si="3592">BW327-$BQ327</f>
        <v>188</v>
      </c>
      <c r="BY327" s="133">
        <f t="shared" si="3592"/>
        <v>188</v>
      </c>
      <c r="BZ327" s="133">
        <f t="shared" si="3592"/>
        <v>188</v>
      </c>
      <c r="CA327" s="133">
        <f t="shared" si="3592"/>
        <v>188</v>
      </c>
      <c r="CB327" s="133">
        <f t="shared" si="3592"/>
        <v>188</v>
      </c>
      <c r="CC327" s="133">
        <f t="shared" si="3592"/>
        <v>188</v>
      </c>
      <c r="CD327" s="133">
        <f t="shared" si="3592"/>
        <v>188</v>
      </c>
      <c r="CE327" s="133">
        <f t="shared" si="3592"/>
        <v>188</v>
      </c>
      <c r="CF327" s="133">
        <f t="shared" si="3592"/>
        <v>188</v>
      </c>
      <c r="CG327" s="133">
        <f t="shared" si="3592"/>
        <v>188</v>
      </c>
      <c r="CH327" s="133">
        <f t="shared" si="3592"/>
        <v>188</v>
      </c>
      <c r="CI327" s="133">
        <f t="shared" si="3592"/>
        <v>188</v>
      </c>
      <c r="CJ327" s="133">
        <f t="shared" si="3592"/>
        <v>188</v>
      </c>
      <c r="CK327" s="133">
        <f t="shared" si="3592"/>
        <v>188</v>
      </c>
      <c r="CL327" s="133">
        <f t="shared" si="3592"/>
        <v>188</v>
      </c>
      <c r="CM327" s="133">
        <f t="shared" si="3592"/>
        <v>188</v>
      </c>
      <c r="CN327" s="133">
        <f t="shared" si="3592"/>
        <v>188</v>
      </c>
      <c r="CO327" s="133">
        <f t="shared" si="3592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93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94">IFERROR(CZ327/CY327,0)</f>
        <v>0</v>
      </c>
      <c r="DB327" s="4">
        <f t="shared" ref="DB327:DB328" si="3595">CY327*FH327</f>
        <v>0</v>
      </c>
      <c r="DC327" s="4">
        <f t="shared" ref="DC327:DC328" si="3596">CZ327*FH327</f>
        <v>0</v>
      </c>
      <c r="DD327" s="136">
        <f t="shared" ref="DD327:DD328" si="3597">IFERROR(DC327/DB327,0)</f>
        <v>0</v>
      </c>
      <c r="DE327" s="31">
        <v>0</v>
      </c>
      <c r="DG327" s="31">
        <v>0</v>
      </c>
      <c r="DH327" s="48">
        <f t="shared" ref="DH327:DH331" si="3598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99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600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601">IFERROR(ROUNDUP(DS327/$EX327,0)*$EY327,0)</f>
        <v>7</v>
      </c>
      <c r="DV327" s="62">
        <v>13816</v>
      </c>
      <c r="DW327" s="62">
        <v>80050.898316614941</v>
      </c>
      <c r="DX327" s="62">
        <f t="shared" ref="DX327:DX331" si="3602">$DF327*BK327/30</f>
        <v>0</v>
      </c>
      <c r="DY327" s="62">
        <f t="shared" ref="DY327:DY331" si="3603">DX327*$FH327</f>
        <v>0</v>
      </c>
      <c r="DZ327" s="48">
        <f t="shared" ref="DZ327:DZ331" si="3604">IFERROR(ROUNDUP(DX327/$EX327,0)*$EY327,0)</f>
        <v>0</v>
      </c>
      <c r="EA327" s="62">
        <f t="shared" ref="EA327:EA331" si="3605">$DF327*BL327/30</f>
        <v>0</v>
      </c>
      <c r="EB327" s="62">
        <f t="shared" ref="EB327:EB331" si="3606">EA327*$FH327</f>
        <v>0</v>
      </c>
      <c r="EC327" s="48">
        <f t="shared" ref="EC327:EC331" si="3607">IFERROR(ROUNDUP(EA327/$EX327,0)*$EY327,0)</f>
        <v>0</v>
      </c>
      <c r="ED327" s="62">
        <f t="shared" ref="ED327:ED331" si="3608">$DF327*BM327/30</f>
        <v>0</v>
      </c>
      <c r="EE327" s="62">
        <f t="shared" ref="EE327:EE331" si="3609">ED327*$FH327</f>
        <v>0</v>
      </c>
      <c r="EF327" s="48">
        <f t="shared" ref="EF327:EF331" si="3610">IFERROR(ROUNDUP(ED327/$EX327,0)*$EY327,0)</f>
        <v>0</v>
      </c>
      <c r="EG327" s="62">
        <f t="shared" ref="EG327:EG331" si="3611">$DF327*BN327/30</f>
        <v>0</v>
      </c>
      <c r="EH327" s="62">
        <f t="shared" ref="EH327:EH331" si="3612">EG327*$FH327</f>
        <v>0</v>
      </c>
      <c r="EI327" s="48">
        <f t="shared" ref="EI327:EI331" si="3613">IFERROR(ROUNDUP(EG327/$EX327,0)*$EY327,0)</f>
        <v>0</v>
      </c>
      <c r="EJ327" s="62">
        <f t="shared" ref="EJ327:EJ331" si="3614">$DF327*BO327/30</f>
        <v>0</v>
      </c>
      <c r="EK327" s="62">
        <f t="shared" ref="EK327:EK331" si="3615">EJ327*$FH327</f>
        <v>0</v>
      </c>
      <c r="EL327" s="48">
        <f t="shared" ref="EL327:EL331" si="3616">IFERROR(ROUNDUP(EJ327/$EX327,0)*$EY327,0)</f>
        <v>0</v>
      </c>
      <c r="EM327" s="62">
        <f t="shared" ref="EM327:EM331" si="3617">$DF327*BP327/30</f>
        <v>0</v>
      </c>
      <c r="EN327" s="62">
        <f t="shared" ref="EN327:EN331" si="3618">EM327*$FH327</f>
        <v>0</v>
      </c>
      <c r="EO327" s="48">
        <f t="shared" ref="EO327:EO331" si="3619">IFERROR(ROUNDUP(EM327/$EX327,0)*$EY327,0)</f>
        <v>0</v>
      </c>
      <c r="EP327" s="62">
        <f t="shared" ref="EP327:EU327" si="3620">BK327*$FH327</f>
        <v>0</v>
      </c>
      <c r="EQ327" s="62">
        <f t="shared" si="3620"/>
        <v>0</v>
      </c>
      <c r="ER327" s="62">
        <f t="shared" si="3620"/>
        <v>0</v>
      </c>
      <c r="ES327" s="62">
        <f t="shared" si="3620"/>
        <v>0</v>
      </c>
      <c r="ET327" s="62">
        <f t="shared" si="3620"/>
        <v>0</v>
      </c>
      <c r="EU327" s="62">
        <f t="shared" si="3620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621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 t="shared" ref="FR327:FR390" si="3622">EXACT(FK327,BA327)</f>
        <v>1</v>
      </c>
      <c r="FS327" s="120" t="b">
        <f t="shared" ref="FS327:FS390" si="3623">EXACT(FL327,BB327)</f>
        <v>1</v>
      </c>
      <c r="FT327" s="120" t="b">
        <f t="shared" ref="FT327:FT390" si="3624">EXACT(FM327,BC327)</f>
        <v>1</v>
      </c>
      <c r="FU327" s="120" t="b">
        <f t="shared" ref="FU327:FU390" si="3625">EXACT(FN327,BD327)</f>
        <v>1</v>
      </c>
      <c r="FV327" s="120" t="b">
        <f t="shared" ref="FV327:FV390" si="3626">EXACT(FO327,BE327)</f>
        <v>1</v>
      </c>
      <c r="FW327" s="104" t="b">
        <f t="shared" si="3036"/>
        <v>0</v>
      </c>
      <c r="FX327" s="120" t="b">
        <f t="shared" ref="FX327:FX331" si="3627">EXACT(FQ327,BI327)</f>
        <v>1</v>
      </c>
      <c r="FY327" s="104" t="s">
        <v>368</v>
      </c>
      <c r="FZ327" s="104" t="b">
        <f t="shared" ref="FZ327:FZ331" si="3628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629">EXACT(GD327,C327)</f>
        <v>1</v>
      </c>
      <c r="GI327" s="8" t="b">
        <f t="shared" ref="GI327:GI331" si="3630">EXACT(GG327,G327)</f>
        <v>0</v>
      </c>
      <c r="GJ327" s="31" t="s">
        <v>203</v>
      </c>
    </row>
    <row r="328" spans="1:192" ht="30" hidden="1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70"/>
        <v>нет минмакс</v>
      </c>
      <c r="Q328" s="95">
        <v>238</v>
      </c>
      <c r="R328" s="95">
        <f t="shared" si="3571"/>
        <v>13520.78</v>
      </c>
      <c r="S328" s="114">
        <v>238</v>
      </c>
      <c r="T328" s="114">
        <v>13520.78</v>
      </c>
      <c r="U328" s="131">
        <f t="shared" si="3572"/>
        <v>2</v>
      </c>
      <c r="V328" s="115">
        <f t="shared" ref="V328:V332" si="3631">SUM(Z328:AD328)</f>
        <v>238</v>
      </c>
      <c r="W328" s="115">
        <f t="shared" si="3573"/>
        <v>13520.78</v>
      </c>
      <c r="X328" s="115">
        <f t="shared" si="3574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75"/>
        <v>0</v>
      </c>
      <c r="AF328" s="95">
        <f t="shared" si="3576"/>
        <v>0</v>
      </c>
      <c r="AG328" s="114">
        <v>0</v>
      </c>
      <c r="AH328" s="95">
        <f t="shared" si="3577"/>
        <v>238</v>
      </c>
      <c r="AI328" s="114">
        <f t="shared" si="3578"/>
        <v>13520.78</v>
      </c>
      <c r="AJ328" s="114">
        <f t="shared" si="3579"/>
        <v>0</v>
      </c>
      <c r="AK328" s="114">
        <f t="shared" ref="AK328:AK332" si="3632">SUM(CS328:CU328)</f>
        <v>0</v>
      </c>
      <c r="AL328" s="114">
        <f t="shared" si="3580"/>
        <v>0</v>
      </c>
      <c r="AM328" s="114">
        <f t="shared" si="3581"/>
        <v>0</v>
      </c>
      <c r="AN328" s="133" t="str">
        <f t="shared" si="3582"/>
        <v>нет оборота</v>
      </c>
      <c r="AO328" s="133" t="str">
        <f t="shared" si="3583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84"/>
        <v>Нет планов</v>
      </c>
      <c r="AW328" s="126">
        <f t="shared" si="3585"/>
        <v>13520.78</v>
      </c>
      <c r="AX328" s="138"/>
      <c r="AY328" s="115">
        <f t="shared" si="3586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87"/>
        <v>13520.78</v>
      </c>
      <c r="BG328" s="32">
        <v>0</v>
      </c>
      <c r="BH328" s="32">
        <f t="shared" si="3588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89"/>
        <v>0</v>
      </c>
      <c r="BR328" s="95">
        <f t="shared" si="3590"/>
        <v>238</v>
      </c>
      <c r="BS328" s="133">
        <f t="shared" ref="BS328:BW331" si="3633">BR328-BL328</f>
        <v>238</v>
      </c>
      <c r="BT328" s="133">
        <f t="shared" si="3633"/>
        <v>238</v>
      </c>
      <c r="BU328" s="133">
        <f t="shared" si="3633"/>
        <v>238</v>
      </c>
      <c r="BV328" s="133">
        <f t="shared" si="3633"/>
        <v>238</v>
      </c>
      <c r="BW328" s="133">
        <f t="shared" si="3633"/>
        <v>238</v>
      </c>
      <c r="BX328" s="133">
        <f t="shared" ref="BX328:CO328" si="3634">BW328-$BQ328</f>
        <v>238</v>
      </c>
      <c r="BY328" s="133">
        <f t="shared" si="3634"/>
        <v>238</v>
      </c>
      <c r="BZ328" s="133">
        <f t="shared" si="3634"/>
        <v>238</v>
      </c>
      <c r="CA328" s="133">
        <f t="shared" si="3634"/>
        <v>238</v>
      </c>
      <c r="CB328" s="133">
        <f t="shared" si="3634"/>
        <v>238</v>
      </c>
      <c r="CC328" s="133">
        <f t="shared" si="3634"/>
        <v>238</v>
      </c>
      <c r="CD328" s="133">
        <f t="shared" si="3634"/>
        <v>238</v>
      </c>
      <c r="CE328" s="133">
        <f t="shared" si="3634"/>
        <v>238</v>
      </c>
      <c r="CF328" s="133">
        <f t="shared" si="3634"/>
        <v>238</v>
      </c>
      <c r="CG328" s="133">
        <f t="shared" si="3634"/>
        <v>238</v>
      </c>
      <c r="CH328" s="133">
        <f t="shared" si="3634"/>
        <v>238</v>
      </c>
      <c r="CI328" s="133">
        <f t="shared" si="3634"/>
        <v>238</v>
      </c>
      <c r="CJ328" s="133">
        <f t="shared" si="3634"/>
        <v>238</v>
      </c>
      <c r="CK328" s="133">
        <f t="shared" si="3634"/>
        <v>238</v>
      </c>
      <c r="CL328" s="133">
        <f t="shared" si="3634"/>
        <v>238</v>
      </c>
      <c r="CM328" s="133">
        <f t="shared" si="3634"/>
        <v>238</v>
      </c>
      <c r="CN328" s="133">
        <f t="shared" si="3634"/>
        <v>238</v>
      </c>
      <c r="CO328" s="133">
        <f t="shared" si="3634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93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94"/>
        <v>0</v>
      </c>
      <c r="DB328" s="4">
        <f t="shared" si="3595"/>
        <v>0</v>
      </c>
      <c r="DC328" s="4">
        <f t="shared" si="3596"/>
        <v>0</v>
      </c>
      <c r="DD328" s="136">
        <f t="shared" si="3597"/>
        <v>0</v>
      </c>
      <c r="DE328" s="31">
        <v>0</v>
      </c>
      <c r="DG328" s="31">
        <v>0</v>
      </c>
      <c r="DH328" s="48">
        <f t="shared" si="3598"/>
        <v>0</v>
      </c>
      <c r="DI328" s="62">
        <v>238</v>
      </c>
      <c r="DJ328" s="62">
        <v>13520.58</v>
      </c>
      <c r="DK328" s="48">
        <f t="shared" si="3599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600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601"/>
        <v>2</v>
      </c>
      <c r="DV328" s="62">
        <v>0</v>
      </c>
      <c r="DW328" s="62">
        <v>0</v>
      </c>
      <c r="DX328" s="62">
        <f t="shared" si="3602"/>
        <v>0</v>
      </c>
      <c r="DY328" s="62">
        <f t="shared" si="3603"/>
        <v>0</v>
      </c>
      <c r="DZ328" s="48">
        <f t="shared" si="3604"/>
        <v>0</v>
      </c>
      <c r="EA328" s="62">
        <f t="shared" si="3605"/>
        <v>0</v>
      </c>
      <c r="EB328" s="62">
        <f t="shared" si="3606"/>
        <v>0</v>
      </c>
      <c r="EC328" s="48">
        <f t="shared" si="3607"/>
        <v>0</v>
      </c>
      <c r="ED328" s="62">
        <f t="shared" si="3608"/>
        <v>0</v>
      </c>
      <c r="EE328" s="62">
        <f t="shared" si="3609"/>
        <v>0</v>
      </c>
      <c r="EF328" s="48">
        <f t="shared" si="3610"/>
        <v>0</v>
      </c>
      <c r="EG328" s="62">
        <f t="shared" si="3611"/>
        <v>0</v>
      </c>
      <c r="EH328" s="62">
        <f t="shared" si="3612"/>
        <v>0</v>
      </c>
      <c r="EI328" s="48">
        <f t="shared" si="3613"/>
        <v>0</v>
      </c>
      <c r="EJ328" s="62">
        <f t="shared" si="3614"/>
        <v>0</v>
      </c>
      <c r="EK328" s="62">
        <f t="shared" si="3615"/>
        <v>0</v>
      </c>
      <c r="EL328" s="48">
        <f t="shared" si="3616"/>
        <v>0</v>
      </c>
      <c r="EM328" s="62">
        <f t="shared" si="3617"/>
        <v>0</v>
      </c>
      <c r="EN328" s="62">
        <f t="shared" si="3618"/>
        <v>0</v>
      </c>
      <c r="EO328" s="48">
        <f t="shared" si="3619"/>
        <v>0</v>
      </c>
      <c r="EP328" s="62">
        <f t="shared" ref="EP328:ER335" si="3635">BK328*$FH328</f>
        <v>0</v>
      </c>
      <c r="EQ328" s="62">
        <f t="shared" si="3635"/>
        <v>0</v>
      </c>
      <c r="ER328" s="62">
        <f t="shared" si="3635"/>
        <v>0</v>
      </c>
      <c r="ES328" s="62">
        <f t="shared" ref="ES328:EU335" si="3636">BN328*$FH328</f>
        <v>0</v>
      </c>
      <c r="ET328" s="62">
        <f t="shared" si="3636"/>
        <v>0</v>
      </c>
      <c r="EU328" s="62">
        <f t="shared" si="3636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621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 t="shared" si="3622"/>
        <v>1</v>
      </c>
      <c r="FS328" s="120" t="b">
        <f t="shared" si="3623"/>
        <v>1</v>
      </c>
      <c r="FT328" s="120" t="b">
        <f t="shared" si="3624"/>
        <v>1</v>
      </c>
      <c r="FU328" s="120" t="b">
        <f t="shared" si="3625"/>
        <v>1</v>
      </c>
      <c r="FV328" s="120" t="b">
        <f t="shared" si="3626"/>
        <v>1</v>
      </c>
      <c r="FW328" s="104" t="b">
        <f t="shared" ref="FW328:FW391" si="3637">EXACT(FP328,BG328)</f>
        <v>0</v>
      </c>
      <c r="FX328" s="120" t="b">
        <f t="shared" si="3627"/>
        <v>1</v>
      </c>
      <c r="FY328" s="104" t="s">
        <v>368</v>
      </c>
      <c r="FZ328" s="104" t="b">
        <f t="shared" si="3628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629"/>
        <v>1</v>
      </c>
      <c r="GI328" s="8" t="b">
        <f t="shared" si="3630"/>
        <v>0</v>
      </c>
      <c r="GJ328" s="31" t="s">
        <v>203</v>
      </c>
    </row>
    <row r="329" spans="1:192" hidden="1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70"/>
        <v>нет минмакс</v>
      </c>
      <c r="Q329" s="95">
        <v>3216</v>
      </c>
      <c r="R329" s="95">
        <f t="shared" si="3571"/>
        <v>4791.84</v>
      </c>
      <c r="S329" s="114">
        <v>9709</v>
      </c>
      <c r="T329" s="114">
        <v>12912.970000000001</v>
      </c>
      <c r="U329" s="131">
        <f t="shared" si="3572"/>
        <v>1</v>
      </c>
      <c r="V329" s="115">
        <f t="shared" si="3631"/>
        <v>75570</v>
      </c>
      <c r="W329" s="115">
        <f t="shared" si="3573"/>
        <v>112599.3</v>
      </c>
      <c r="X329" s="115">
        <f t="shared" si="3574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75"/>
        <v>0</v>
      </c>
      <c r="AF329" s="95">
        <f t="shared" si="3576"/>
        <v>0</v>
      </c>
      <c r="AG329" s="114">
        <v>0</v>
      </c>
      <c r="AH329" s="95">
        <f t="shared" si="3577"/>
        <v>75570</v>
      </c>
      <c r="AI329" s="114">
        <f t="shared" si="3578"/>
        <v>112599.3</v>
      </c>
      <c r="AJ329" s="114">
        <f t="shared" si="3579"/>
        <v>28887</v>
      </c>
      <c r="AK329" s="114">
        <f t="shared" si="3632"/>
        <v>87054</v>
      </c>
      <c r="AL329" s="114">
        <f t="shared" si="3580"/>
        <v>153918</v>
      </c>
      <c r="AM329" s="114">
        <f t="shared" si="3581"/>
        <v>173130</v>
      </c>
      <c r="AN329" s="133">
        <f t="shared" si="3582"/>
        <v>10.094264425576156</v>
      </c>
      <c r="AO329" s="133" t="str">
        <f t="shared" si="3583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84"/>
        <v>0-03</v>
      </c>
      <c r="AW329" s="126">
        <f t="shared" si="3585"/>
        <v>0</v>
      </c>
      <c r="AX329" s="138"/>
      <c r="AY329" s="115">
        <f t="shared" si="3586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87"/>
        <v>0</v>
      </c>
      <c r="BG329" s="32">
        <v>0</v>
      </c>
      <c r="BH329" s="32">
        <f t="shared" si="3588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89"/>
        <v>28855</v>
      </c>
      <c r="BR329" s="95">
        <f t="shared" si="3590"/>
        <v>37265</v>
      </c>
      <c r="BS329" s="133">
        <f t="shared" si="3633"/>
        <v>10765</v>
      </c>
      <c r="BT329" s="133">
        <f t="shared" si="3633"/>
        <v>-14797</v>
      </c>
      <c r="BU329" s="133">
        <f t="shared" si="3633"/>
        <v>-41596</v>
      </c>
      <c r="BV329" s="133">
        <f t="shared" si="3633"/>
        <v>-71280</v>
      </c>
      <c r="BW329" s="133">
        <f t="shared" si="3633"/>
        <v>-97560</v>
      </c>
      <c r="BX329" s="133">
        <f t="shared" ref="BX329:CO330" si="3638">BW329-$BQ329</f>
        <v>-126415</v>
      </c>
      <c r="BY329" s="133">
        <f t="shared" si="3638"/>
        <v>-155270</v>
      </c>
      <c r="BZ329" s="133">
        <f t="shared" si="3638"/>
        <v>-184125</v>
      </c>
      <c r="CA329" s="133">
        <f t="shared" si="3638"/>
        <v>-212980</v>
      </c>
      <c r="CB329" s="133">
        <f t="shared" si="3638"/>
        <v>-241835</v>
      </c>
      <c r="CC329" s="133">
        <f t="shared" si="3638"/>
        <v>-270690</v>
      </c>
      <c r="CD329" s="133">
        <f t="shared" si="3638"/>
        <v>-299545</v>
      </c>
      <c r="CE329" s="133">
        <f t="shared" si="3638"/>
        <v>-328400</v>
      </c>
      <c r="CF329" s="133">
        <f t="shared" si="3638"/>
        <v>-357255</v>
      </c>
      <c r="CG329" s="133">
        <f t="shared" si="3638"/>
        <v>-386110</v>
      </c>
      <c r="CH329" s="133">
        <f t="shared" si="3638"/>
        <v>-414965</v>
      </c>
      <c r="CI329" s="133">
        <f t="shared" si="3638"/>
        <v>-443820</v>
      </c>
      <c r="CJ329" s="133">
        <f t="shared" si="3638"/>
        <v>-472675</v>
      </c>
      <c r="CK329" s="133">
        <f t="shared" si="3638"/>
        <v>-501530</v>
      </c>
      <c r="CL329" s="133">
        <f t="shared" si="3638"/>
        <v>-530385</v>
      </c>
      <c r="CM329" s="133">
        <f t="shared" si="3638"/>
        <v>-559240</v>
      </c>
      <c r="CN329" s="133">
        <f t="shared" si="3638"/>
        <v>-588095</v>
      </c>
      <c r="CO329" s="133">
        <f t="shared" si="3638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93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39">IFERROR(CZ329/CY329,0)</f>
        <v>0</v>
      </c>
      <c r="DB329" s="4">
        <f t="shared" ref="DB329:DB335" si="3640">CY329*FH329</f>
        <v>0</v>
      </c>
      <c r="DC329" s="4">
        <f t="shared" ref="DC329:DC335" si="3641">CZ329*FH329</f>
        <v>0</v>
      </c>
      <c r="DD329" s="136">
        <f t="shared" ref="DD329:DD335" si="3642">IFERROR(DC329/DB329,0)</f>
        <v>0</v>
      </c>
      <c r="DE329" s="31">
        <v>0</v>
      </c>
      <c r="DG329" s="31">
        <v>0</v>
      </c>
      <c r="DH329" s="48">
        <f t="shared" si="3598"/>
        <v>0</v>
      </c>
      <c r="DI329" s="62">
        <v>7725.387999999999</v>
      </c>
      <c r="DJ329" s="62">
        <v>9564.3810000000012</v>
      </c>
      <c r="DK329" s="48">
        <f t="shared" si="3599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600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601"/>
        <v>1</v>
      </c>
      <c r="DV329" s="62">
        <v>28559</v>
      </c>
      <c r="DW329" s="62">
        <v>35282.672033824376</v>
      </c>
      <c r="DX329" s="62">
        <f t="shared" si="3602"/>
        <v>0</v>
      </c>
      <c r="DY329" s="62">
        <f t="shared" si="3603"/>
        <v>0</v>
      </c>
      <c r="DZ329" s="48">
        <f t="shared" si="3604"/>
        <v>0</v>
      </c>
      <c r="EA329" s="62">
        <f t="shared" si="3605"/>
        <v>0</v>
      </c>
      <c r="EB329" s="62">
        <f t="shared" si="3606"/>
        <v>0</v>
      </c>
      <c r="EC329" s="48">
        <f t="shared" si="3607"/>
        <v>0</v>
      </c>
      <c r="ED329" s="62">
        <f t="shared" si="3608"/>
        <v>0</v>
      </c>
      <c r="EE329" s="62">
        <f t="shared" si="3609"/>
        <v>0</v>
      </c>
      <c r="EF329" s="48">
        <f t="shared" si="3610"/>
        <v>0</v>
      </c>
      <c r="EG329" s="62">
        <f t="shared" si="3611"/>
        <v>0</v>
      </c>
      <c r="EH329" s="62">
        <f t="shared" si="3612"/>
        <v>0</v>
      </c>
      <c r="EI329" s="48">
        <f t="shared" si="3613"/>
        <v>0</v>
      </c>
      <c r="EJ329" s="62">
        <f t="shared" si="3614"/>
        <v>0</v>
      </c>
      <c r="EK329" s="62">
        <f t="shared" si="3615"/>
        <v>0</v>
      </c>
      <c r="EL329" s="48">
        <f t="shared" si="3616"/>
        <v>0</v>
      </c>
      <c r="EM329" s="62">
        <f t="shared" si="3617"/>
        <v>0</v>
      </c>
      <c r="EN329" s="62">
        <f t="shared" si="3618"/>
        <v>0</v>
      </c>
      <c r="EO329" s="48">
        <f t="shared" si="3619"/>
        <v>0</v>
      </c>
      <c r="EP329" s="62">
        <f t="shared" si="3635"/>
        <v>57074.45</v>
      </c>
      <c r="EQ329" s="62">
        <f t="shared" si="3635"/>
        <v>39485</v>
      </c>
      <c r="ER329" s="62">
        <f t="shared" si="3635"/>
        <v>38087.379999999997</v>
      </c>
      <c r="ES329" s="62">
        <f t="shared" si="3636"/>
        <v>39930.51</v>
      </c>
      <c r="ET329" s="62">
        <f t="shared" si="3636"/>
        <v>44229.159999999996</v>
      </c>
      <c r="EU329" s="62">
        <f t="shared" si="3636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621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 t="shared" si="3622"/>
        <v>1</v>
      </c>
      <c r="FS329" s="120" t="b">
        <f t="shared" si="3623"/>
        <v>1</v>
      </c>
      <c r="FT329" s="120" t="b">
        <f t="shared" si="3624"/>
        <v>1</v>
      </c>
      <c r="FU329" s="120" t="b">
        <f t="shared" si="3625"/>
        <v>1</v>
      </c>
      <c r="FV329" s="120" t="b">
        <f t="shared" si="3626"/>
        <v>1</v>
      </c>
      <c r="FW329" s="104" t="b">
        <f t="shared" si="3637"/>
        <v>0</v>
      </c>
      <c r="FX329" s="120" t="b">
        <f t="shared" si="3627"/>
        <v>1</v>
      </c>
      <c r="FY329" s="104" t="s">
        <v>368</v>
      </c>
      <c r="FZ329" s="104" t="b">
        <f t="shared" si="3628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629"/>
        <v>1</v>
      </c>
      <c r="GI329" s="8" t="b">
        <f t="shared" si="3630"/>
        <v>0</v>
      </c>
      <c r="GJ329" s="31" t="s">
        <v>203</v>
      </c>
    </row>
    <row r="330" spans="1:192" hidden="1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70"/>
        <v>нет минмакс</v>
      </c>
      <c r="Q330" s="95">
        <v>95550</v>
      </c>
      <c r="R330" s="95">
        <f t="shared" si="3571"/>
        <v>128992.50000000001</v>
      </c>
      <c r="S330" s="114">
        <v>10326</v>
      </c>
      <c r="T330" s="114">
        <v>13423.800000000001</v>
      </c>
      <c r="U330" s="131">
        <f t="shared" si="3572"/>
        <v>1</v>
      </c>
      <c r="V330" s="115">
        <f t="shared" si="3631"/>
        <v>65312</v>
      </c>
      <c r="W330" s="115">
        <f t="shared" si="3573"/>
        <v>88171.200000000012</v>
      </c>
      <c r="X330" s="115">
        <f t="shared" si="3574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75"/>
        <v>0</v>
      </c>
      <c r="AF330" s="95">
        <f t="shared" si="3576"/>
        <v>0</v>
      </c>
      <c r="AG330" s="114">
        <v>0</v>
      </c>
      <c r="AH330" s="95">
        <f t="shared" si="3577"/>
        <v>65312</v>
      </c>
      <c r="AI330" s="114">
        <f t="shared" si="3578"/>
        <v>88171.200000000012</v>
      </c>
      <c r="AJ330" s="114">
        <f t="shared" si="3579"/>
        <v>94908</v>
      </c>
      <c r="AK330" s="114">
        <f t="shared" si="3632"/>
        <v>330409</v>
      </c>
      <c r="AL330" s="114">
        <f t="shared" si="3580"/>
        <v>913247</v>
      </c>
      <c r="AM330" s="114">
        <f t="shared" si="3581"/>
        <v>2012897</v>
      </c>
      <c r="AN330" s="133">
        <f t="shared" si="3582"/>
        <v>0.92338554829184005</v>
      </c>
      <c r="AO330" s="133" t="str">
        <f t="shared" si="3583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84"/>
        <v>0-01</v>
      </c>
      <c r="AW330" s="126">
        <f t="shared" si="3585"/>
        <v>0</v>
      </c>
      <c r="AX330" s="138"/>
      <c r="AY330" s="115">
        <f t="shared" si="3586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87"/>
        <v>0</v>
      </c>
      <c r="BG330" s="32">
        <v>0</v>
      </c>
      <c r="BH330" s="32">
        <f t="shared" si="3588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89"/>
        <v>335482.83333333331</v>
      </c>
      <c r="BR330" s="95">
        <f t="shared" si="3590"/>
        <v>-88346</v>
      </c>
      <c r="BS330" s="133">
        <f t="shared" si="3633"/>
        <v>-993199</v>
      </c>
      <c r="BT330" s="133">
        <f t="shared" si="3633"/>
        <v>-1271688</v>
      </c>
      <c r="BU330" s="133">
        <f t="shared" si="3633"/>
        <v>-1503922</v>
      </c>
      <c r="BV330" s="133">
        <f t="shared" si="3633"/>
        <v>-1722117</v>
      </c>
      <c r="BW330" s="133">
        <f t="shared" si="3633"/>
        <v>-1917347</v>
      </c>
      <c r="BX330" s="133">
        <f t="shared" si="3638"/>
        <v>-2252829.8333333335</v>
      </c>
      <c r="BY330" s="133">
        <f t="shared" si="3638"/>
        <v>-2588312.666666667</v>
      </c>
      <c r="BZ330" s="133">
        <f t="shared" si="3638"/>
        <v>-2923795.5000000005</v>
      </c>
      <c r="CA330" s="133">
        <f t="shared" si="3638"/>
        <v>-3259278.333333334</v>
      </c>
      <c r="CB330" s="133">
        <f t="shared" si="3638"/>
        <v>-3594761.1666666674</v>
      </c>
      <c r="CC330" s="133">
        <f t="shared" si="3638"/>
        <v>-3930244.0000000009</v>
      </c>
      <c r="CD330" s="133">
        <f t="shared" si="3638"/>
        <v>-4265726.833333334</v>
      </c>
      <c r="CE330" s="133">
        <f t="shared" si="3638"/>
        <v>-4601209.666666667</v>
      </c>
      <c r="CF330" s="133">
        <f t="shared" si="3638"/>
        <v>-4936692.5</v>
      </c>
      <c r="CG330" s="133">
        <f t="shared" si="3638"/>
        <v>-5272175.333333333</v>
      </c>
      <c r="CH330" s="133">
        <f t="shared" si="3638"/>
        <v>-5607658.166666666</v>
      </c>
      <c r="CI330" s="133">
        <f t="shared" si="3638"/>
        <v>-5943140.9999999991</v>
      </c>
      <c r="CJ330" s="133">
        <f t="shared" si="3638"/>
        <v>-6278623.8333333321</v>
      </c>
      <c r="CK330" s="133">
        <f t="shared" si="3638"/>
        <v>-6614106.6666666651</v>
      </c>
      <c r="CL330" s="133">
        <f t="shared" si="3638"/>
        <v>-6949589.4999999981</v>
      </c>
      <c r="CM330" s="133">
        <f t="shared" si="3638"/>
        <v>-7285072.3333333312</v>
      </c>
      <c r="CN330" s="133">
        <f t="shared" si="3638"/>
        <v>-7620555.1666666642</v>
      </c>
      <c r="CO330" s="133">
        <f t="shared" si="3638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93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39"/>
        <v>0</v>
      </c>
      <c r="DB330" s="4">
        <f t="shared" si="3640"/>
        <v>0</v>
      </c>
      <c r="DC330" s="4">
        <f t="shared" si="3641"/>
        <v>0</v>
      </c>
      <c r="DD330" s="136">
        <f t="shared" si="3642"/>
        <v>0</v>
      </c>
      <c r="DE330" s="31">
        <v>0</v>
      </c>
      <c r="DG330" s="31">
        <v>0</v>
      </c>
      <c r="DH330" s="48">
        <f t="shared" si="3598"/>
        <v>0</v>
      </c>
      <c r="DI330" s="62">
        <v>182073.033</v>
      </c>
      <c r="DJ330" s="62">
        <v>219262.375</v>
      </c>
      <c r="DK330" s="48">
        <f t="shared" si="3599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600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601"/>
        <v>1</v>
      </c>
      <c r="DV330" s="62">
        <v>99886</v>
      </c>
      <c r="DW330" s="62">
        <v>115855.9610890663</v>
      </c>
      <c r="DX330" s="62">
        <f t="shared" si="3602"/>
        <v>0</v>
      </c>
      <c r="DY330" s="62">
        <f t="shared" si="3603"/>
        <v>0</v>
      </c>
      <c r="DZ330" s="48">
        <f t="shared" si="3604"/>
        <v>0</v>
      </c>
      <c r="EA330" s="62">
        <f t="shared" si="3605"/>
        <v>0</v>
      </c>
      <c r="EB330" s="62">
        <f t="shared" si="3606"/>
        <v>0</v>
      </c>
      <c r="EC330" s="48">
        <f t="shared" si="3607"/>
        <v>0</v>
      </c>
      <c r="ED330" s="62">
        <f t="shared" si="3608"/>
        <v>0</v>
      </c>
      <c r="EE330" s="62">
        <f t="shared" si="3609"/>
        <v>0</v>
      </c>
      <c r="EF330" s="48">
        <f t="shared" si="3610"/>
        <v>0</v>
      </c>
      <c r="EG330" s="62">
        <f t="shared" si="3611"/>
        <v>0</v>
      </c>
      <c r="EH330" s="62">
        <f t="shared" si="3612"/>
        <v>0</v>
      </c>
      <c r="EI330" s="48">
        <f t="shared" si="3613"/>
        <v>0</v>
      </c>
      <c r="EJ330" s="62">
        <f t="shared" si="3614"/>
        <v>0</v>
      </c>
      <c r="EK330" s="62">
        <f t="shared" si="3615"/>
        <v>0</v>
      </c>
      <c r="EL330" s="48">
        <f t="shared" si="3616"/>
        <v>0</v>
      </c>
      <c r="EM330" s="62">
        <f t="shared" si="3617"/>
        <v>0</v>
      </c>
      <c r="EN330" s="62">
        <f t="shared" si="3618"/>
        <v>0</v>
      </c>
      <c r="EO330" s="48">
        <f t="shared" si="3619"/>
        <v>0</v>
      </c>
      <c r="EP330" s="62">
        <f t="shared" si="3635"/>
        <v>248259.6</v>
      </c>
      <c r="EQ330" s="62">
        <f t="shared" si="3635"/>
        <v>1221551.55</v>
      </c>
      <c r="ER330" s="62">
        <f t="shared" si="3635"/>
        <v>375960.15</v>
      </c>
      <c r="ES330" s="62">
        <f t="shared" si="3636"/>
        <v>313515.90000000002</v>
      </c>
      <c r="ET330" s="62">
        <f t="shared" si="3636"/>
        <v>294563.25</v>
      </c>
      <c r="EU330" s="62">
        <f t="shared" si="3636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621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 t="shared" si="3622"/>
        <v>1</v>
      </c>
      <c r="FS330" s="120" t="b">
        <f t="shared" si="3623"/>
        <v>1</v>
      </c>
      <c r="FT330" s="120" t="b">
        <f t="shared" si="3624"/>
        <v>1</v>
      </c>
      <c r="FU330" s="120" t="b">
        <f t="shared" si="3625"/>
        <v>1</v>
      </c>
      <c r="FV330" s="120" t="b">
        <f t="shared" si="3626"/>
        <v>1</v>
      </c>
      <c r="FW330" s="104" t="b">
        <f t="shared" si="3637"/>
        <v>0</v>
      </c>
      <c r="FX330" s="120" t="b">
        <f t="shared" si="3627"/>
        <v>1</v>
      </c>
      <c r="FY330" s="104" t="s">
        <v>368</v>
      </c>
      <c r="FZ330" s="104" t="b">
        <f t="shared" si="3628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629"/>
        <v>1</v>
      </c>
      <c r="GI330" s="8" t="b">
        <f t="shared" si="3630"/>
        <v>0</v>
      </c>
      <c r="GJ330" s="31" t="s">
        <v>203</v>
      </c>
    </row>
    <row r="331" spans="1:192" hidden="1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70"/>
        <v>нет минмакс</v>
      </c>
      <c r="Q331" s="95">
        <v>0</v>
      </c>
      <c r="R331" s="95">
        <f t="shared" si="3571"/>
        <v>0</v>
      </c>
      <c r="S331" s="114">
        <v>12598</v>
      </c>
      <c r="T331" s="114">
        <v>11338.2</v>
      </c>
      <c r="U331" s="131">
        <f t="shared" si="3572"/>
        <v>1</v>
      </c>
      <c r="V331" s="115">
        <f t="shared" si="3631"/>
        <v>37613</v>
      </c>
      <c r="W331" s="115">
        <f t="shared" si="3573"/>
        <v>33851.700000000004</v>
      </c>
      <c r="X331" s="115">
        <f t="shared" si="3574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75"/>
        <v>0</v>
      </c>
      <c r="AF331" s="95">
        <f t="shared" si="3576"/>
        <v>0</v>
      </c>
      <c r="AG331" s="114">
        <v>0</v>
      </c>
      <c r="AH331" s="95">
        <f t="shared" si="3577"/>
        <v>37613</v>
      </c>
      <c r="AI331" s="114">
        <f t="shared" si="3578"/>
        <v>33851.700000000004</v>
      </c>
      <c r="AJ331" s="114">
        <f t="shared" si="3579"/>
        <v>4375</v>
      </c>
      <c r="AK331" s="114">
        <f t="shared" si="3632"/>
        <v>11677</v>
      </c>
      <c r="AL331" s="114">
        <f t="shared" si="3580"/>
        <v>13077</v>
      </c>
      <c r="AM331" s="114">
        <f t="shared" si="3581"/>
        <v>9032</v>
      </c>
      <c r="AN331" s="133">
        <f t="shared" si="3582"/>
        <v>125.53365810451726</v>
      </c>
      <c r="AO331" s="133" t="str">
        <f t="shared" si="3583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84"/>
        <v>0-16</v>
      </c>
      <c r="AW331" s="126">
        <f t="shared" si="3585"/>
        <v>0</v>
      </c>
      <c r="AX331" s="138"/>
      <c r="AY331" s="115">
        <f t="shared" si="3586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87"/>
        <v>0</v>
      </c>
      <c r="BG331" s="32">
        <v>0</v>
      </c>
      <c r="BH331" s="32">
        <f t="shared" si="3588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89"/>
        <v>3010.6666666666665</v>
      </c>
      <c r="BR331" s="95">
        <f t="shared" si="3590"/>
        <v>34375</v>
      </c>
      <c r="BS331" s="133">
        <f t="shared" si="3633"/>
        <v>29335</v>
      </c>
      <c r="BT331" s="133">
        <f t="shared" si="3633"/>
        <v>29335</v>
      </c>
      <c r="BU331" s="133">
        <f t="shared" si="3633"/>
        <v>28581</v>
      </c>
      <c r="BV331" s="133">
        <f t="shared" si="3633"/>
        <v>28581</v>
      </c>
      <c r="BW331" s="133">
        <f t="shared" si="3633"/>
        <v>28581</v>
      </c>
      <c r="BX331" s="133">
        <f t="shared" ref="BX331:CO333" si="3643">BW331-$BQ331</f>
        <v>25570.333333333332</v>
      </c>
      <c r="BY331" s="133">
        <f t="shared" si="3643"/>
        <v>22559.666666666664</v>
      </c>
      <c r="BZ331" s="133">
        <f t="shared" si="3643"/>
        <v>19548.999999999996</v>
      </c>
      <c r="CA331" s="133">
        <f t="shared" si="3643"/>
        <v>16538.333333333328</v>
      </c>
      <c r="CB331" s="133">
        <f t="shared" si="3643"/>
        <v>13527.666666666662</v>
      </c>
      <c r="CC331" s="133">
        <f t="shared" si="3643"/>
        <v>10516.999999999996</v>
      </c>
      <c r="CD331" s="133">
        <f t="shared" si="3643"/>
        <v>7506.3333333333303</v>
      </c>
      <c r="CE331" s="133">
        <f t="shared" si="3643"/>
        <v>4495.6666666666642</v>
      </c>
      <c r="CF331" s="133">
        <f t="shared" si="3643"/>
        <v>1484.9999999999977</v>
      </c>
      <c r="CG331" s="133">
        <f t="shared" si="3643"/>
        <v>-1525.6666666666688</v>
      </c>
      <c r="CH331" s="133">
        <f t="shared" si="3643"/>
        <v>-4536.3333333333358</v>
      </c>
      <c r="CI331" s="133">
        <f t="shared" si="3643"/>
        <v>-7547.0000000000018</v>
      </c>
      <c r="CJ331" s="133">
        <f t="shared" si="3643"/>
        <v>-10557.666666666668</v>
      </c>
      <c r="CK331" s="133">
        <f t="shared" si="3643"/>
        <v>-13568.333333333334</v>
      </c>
      <c r="CL331" s="133">
        <f t="shared" si="3643"/>
        <v>-16579</v>
      </c>
      <c r="CM331" s="133">
        <f t="shared" si="3643"/>
        <v>-19589.666666666668</v>
      </c>
      <c r="CN331" s="133">
        <f t="shared" si="3643"/>
        <v>-22600.333333333336</v>
      </c>
      <c r="CO331" s="133">
        <f t="shared" si="3643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93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39"/>
        <v>0</v>
      </c>
      <c r="DB331" s="4">
        <f t="shared" si="3640"/>
        <v>0</v>
      </c>
      <c r="DC331" s="4">
        <f t="shared" si="3641"/>
        <v>0</v>
      </c>
      <c r="DD331" s="136">
        <f t="shared" si="3642"/>
        <v>0</v>
      </c>
      <c r="DE331" s="31">
        <v>0</v>
      </c>
      <c r="DG331" s="31">
        <v>0</v>
      </c>
      <c r="DH331" s="48">
        <f t="shared" si="3598"/>
        <v>0</v>
      </c>
      <c r="DI331" s="62">
        <v>12554.839</v>
      </c>
      <c r="DJ331" s="62">
        <v>11279.249</v>
      </c>
      <c r="DK331" s="48">
        <f t="shared" si="3599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600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601"/>
        <v>1</v>
      </c>
      <c r="DV331" s="62">
        <v>2</v>
      </c>
      <c r="DW331" s="62">
        <v>1.7967968253968254</v>
      </c>
      <c r="DX331" s="62">
        <f t="shared" si="3602"/>
        <v>0</v>
      </c>
      <c r="DY331" s="62">
        <f t="shared" si="3603"/>
        <v>0</v>
      </c>
      <c r="DZ331" s="48">
        <f t="shared" si="3604"/>
        <v>0</v>
      </c>
      <c r="EA331" s="62">
        <f t="shared" si="3605"/>
        <v>0</v>
      </c>
      <c r="EB331" s="62">
        <f t="shared" si="3606"/>
        <v>0</v>
      </c>
      <c r="EC331" s="48">
        <f t="shared" si="3607"/>
        <v>0</v>
      </c>
      <c r="ED331" s="62">
        <f t="shared" si="3608"/>
        <v>0</v>
      </c>
      <c r="EE331" s="62">
        <f t="shared" si="3609"/>
        <v>0</v>
      </c>
      <c r="EF331" s="48">
        <f t="shared" si="3610"/>
        <v>0</v>
      </c>
      <c r="EG331" s="62">
        <f t="shared" si="3611"/>
        <v>0</v>
      </c>
      <c r="EH331" s="62">
        <f t="shared" si="3612"/>
        <v>0</v>
      </c>
      <c r="EI331" s="48">
        <f t="shared" si="3613"/>
        <v>0</v>
      </c>
      <c r="EJ331" s="62">
        <f t="shared" si="3614"/>
        <v>0</v>
      </c>
      <c r="EK331" s="62">
        <f t="shared" si="3615"/>
        <v>0</v>
      </c>
      <c r="EL331" s="48">
        <f t="shared" si="3616"/>
        <v>0</v>
      </c>
      <c r="EM331" s="62">
        <f t="shared" si="3617"/>
        <v>0</v>
      </c>
      <c r="EN331" s="62">
        <f t="shared" si="3618"/>
        <v>0</v>
      </c>
      <c r="EO331" s="48">
        <f t="shared" si="3619"/>
        <v>0</v>
      </c>
      <c r="EP331" s="62">
        <f t="shared" si="3635"/>
        <v>2914.2000000000003</v>
      </c>
      <c r="EQ331" s="62">
        <f t="shared" si="3635"/>
        <v>4536</v>
      </c>
      <c r="ER331" s="62">
        <f t="shared" si="3635"/>
        <v>0</v>
      </c>
      <c r="ES331" s="62">
        <f t="shared" si="3636"/>
        <v>678.6</v>
      </c>
      <c r="ET331" s="62">
        <f t="shared" si="3636"/>
        <v>0</v>
      </c>
      <c r="EU331" s="62">
        <f t="shared" si="3636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621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 t="shared" si="3622"/>
        <v>1</v>
      </c>
      <c r="FS331" s="120" t="b">
        <f t="shared" si="3623"/>
        <v>1</v>
      </c>
      <c r="FT331" s="120" t="b">
        <f t="shared" si="3624"/>
        <v>1</v>
      </c>
      <c r="FU331" s="120" t="b">
        <f t="shared" si="3625"/>
        <v>1</v>
      </c>
      <c r="FV331" s="120" t="b">
        <f t="shared" si="3626"/>
        <v>1</v>
      </c>
      <c r="FW331" s="104" t="b">
        <f t="shared" si="3637"/>
        <v>0</v>
      </c>
      <c r="FX331" s="120" t="b">
        <f t="shared" si="3627"/>
        <v>1</v>
      </c>
      <c r="FY331" s="104" t="s">
        <v>368</v>
      </c>
      <c r="FZ331" s="104" t="b">
        <f t="shared" si="3628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629"/>
        <v>1</v>
      </c>
      <c r="GI331" s="8" t="b">
        <f t="shared" si="3630"/>
        <v>0</v>
      </c>
      <c r="GJ331" s="31" t="s">
        <v>203</v>
      </c>
    </row>
    <row r="332" spans="1:192" hidden="1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44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45">Q332*FH332</f>
        <v>142634.88</v>
      </c>
      <c r="S332" s="114">
        <v>5318</v>
      </c>
      <c r="T332" s="114">
        <v>10689.179999999998</v>
      </c>
      <c r="U332" s="131">
        <f t="shared" ref="U332:U338" si="3646">IFERROR(ROUNDUP(S332/$EX332,0)*$EY332,0)</f>
        <v>1</v>
      </c>
      <c r="V332" s="115">
        <f t="shared" si="3631"/>
        <v>19750</v>
      </c>
      <c r="W332" s="115">
        <f t="shared" ref="W332:W338" si="3647">V332*FH332</f>
        <v>37920</v>
      </c>
      <c r="X332" s="115">
        <f t="shared" ref="X332:X338" si="3648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49">AA332*FH332</f>
        <v>0</v>
      </c>
      <c r="AF332" s="95">
        <f t="shared" ref="AF332:AF338" si="3650">AB332*FH332</f>
        <v>0</v>
      </c>
      <c r="AG332" s="114">
        <v>0</v>
      </c>
      <c r="AH332" s="95">
        <f t="shared" ref="AH332:AH338" si="3651">V332-AG332</f>
        <v>19750</v>
      </c>
      <c r="AI332" s="114">
        <f t="shared" ref="AI332:AI338" si="3652">IF(AH332&gt;0,AH332*FH332,0)</f>
        <v>37920</v>
      </c>
      <c r="AJ332" s="114">
        <f t="shared" ref="AJ332:AJ338" si="3653">CU332</f>
        <v>47481</v>
      </c>
      <c r="AK332" s="114">
        <f t="shared" si="3632"/>
        <v>109621</v>
      </c>
      <c r="AL332" s="114">
        <f t="shared" ref="AL332:AL338" si="3654">SUM(CP332:CU332)</f>
        <v>165717</v>
      </c>
      <c r="AM332" s="114">
        <f t="shared" ref="AM332:AM338" si="3655">SUM(BK332:BP332)</f>
        <v>586042</v>
      </c>
      <c r="AN332" s="133">
        <f t="shared" ref="AN332:AN338" si="3656">IFERROR(S332/BQ332*30,"нет оборота")</f>
        <v>1.6333982888598426</v>
      </c>
      <c r="AO332" s="133" t="str">
        <f t="shared" ref="AO332:AO338" si="3657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58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59">IF(AT332="Да",W332,0)</f>
        <v>0</v>
      </c>
      <c r="AX332" s="138"/>
      <c r="AY332" s="115">
        <f t="shared" ref="AY332:AY338" si="3660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61">BE332*FH332</f>
        <v>0</v>
      </c>
      <c r="BG332" s="32">
        <v>0</v>
      </c>
      <c r="BH332" s="32">
        <f t="shared" ref="BH332:BH338" si="3662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63">IF(COUNTIF(BK332:BP332,"&gt;0")=0,0,SUM(BK332:BP332)/COUNTIF(BK332:BP332,"&gt;0"))</f>
        <v>97673.666666666672</v>
      </c>
      <c r="BR332" s="95">
        <f t="shared" ref="BR332:BR338" si="3664">IF(OR(Q332=0,SUM(BK332:BP332)=0,V332&gt;Q332),V332-BK332,Q332-BK332)</f>
        <v>59993</v>
      </c>
      <c r="BS332" s="133">
        <f t="shared" ref="BS332:BW337" si="3665">BR332-BL332</f>
        <v>-160550</v>
      </c>
      <c r="BT332" s="133">
        <f t="shared" si="3665"/>
        <v>-305532</v>
      </c>
      <c r="BU332" s="133">
        <f t="shared" si="3665"/>
        <v>-361634</v>
      </c>
      <c r="BV332" s="133">
        <f t="shared" si="3665"/>
        <v>-506587</v>
      </c>
      <c r="BW332" s="133">
        <f t="shared" si="3665"/>
        <v>-511753</v>
      </c>
      <c r="BX332" s="133">
        <f t="shared" si="3643"/>
        <v>-609426.66666666663</v>
      </c>
      <c r="BY332" s="133">
        <f t="shared" si="3643"/>
        <v>-707100.33333333326</v>
      </c>
      <c r="BZ332" s="133">
        <f t="shared" si="3643"/>
        <v>-804773.99999999988</v>
      </c>
      <c r="CA332" s="133">
        <f t="shared" si="3643"/>
        <v>-902447.66666666651</v>
      </c>
      <c r="CB332" s="133">
        <f t="shared" si="3643"/>
        <v>-1000121.3333333331</v>
      </c>
      <c r="CC332" s="133">
        <f t="shared" si="3643"/>
        <v>-1097794.9999999998</v>
      </c>
      <c r="CD332" s="133">
        <f t="shared" si="3643"/>
        <v>-1195468.6666666665</v>
      </c>
      <c r="CE332" s="133">
        <f t="shared" si="3643"/>
        <v>-1293142.3333333333</v>
      </c>
      <c r="CF332" s="133">
        <f t="shared" si="3643"/>
        <v>-1390816</v>
      </c>
      <c r="CG332" s="133">
        <f t="shared" si="3643"/>
        <v>-1488489.6666666667</v>
      </c>
      <c r="CH332" s="133">
        <f t="shared" si="3643"/>
        <v>-1586163.3333333335</v>
      </c>
      <c r="CI332" s="133">
        <f t="shared" si="3643"/>
        <v>-1683837.0000000002</v>
      </c>
      <c r="CJ332" s="133">
        <f t="shared" si="3643"/>
        <v>-1781510.666666667</v>
      </c>
      <c r="CK332" s="133">
        <f t="shared" si="3643"/>
        <v>-1879184.3333333337</v>
      </c>
      <c r="CL332" s="133">
        <f t="shared" si="3643"/>
        <v>-1976858.0000000005</v>
      </c>
      <c r="CM332" s="133">
        <f t="shared" si="3643"/>
        <v>-2074531.6666666672</v>
      </c>
      <c r="CN332" s="133">
        <f t="shared" si="3643"/>
        <v>-2172205.333333334</v>
      </c>
      <c r="CO332" s="133">
        <f t="shared" si="3643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66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39"/>
        <v>0</v>
      </c>
      <c r="DB332" s="4">
        <f t="shared" si="3640"/>
        <v>0</v>
      </c>
      <c r="DC332" s="4">
        <f t="shared" si="3641"/>
        <v>0</v>
      </c>
      <c r="DD332" s="136">
        <f t="shared" si="3642"/>
        <v>0</v>
      </c>
      <c r="DE332" s="31">
        <v>0</v>
      </c>
      <c r="DG332" s="31">
        <v>0</v>
      </c>
      <c r="DH332" s="48">
        <f t="shared" ref="DH332:DH338" si="3667">IFERROR(ROUNDUP(DG332/$EX332,0)*$EY332,0)</f>
        <v>0</v>
      </c>
      <c r="DI332" s="62">
        <v>10002.161</v>
      </c>
      <c r="DJ332" s="62">
        <v>20923.98</v>
      </c>
      <c r="DK332" s="48">
        <f t="shared" ref="DK332:DK338" si="3668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69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70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71">$DF332*BK332/30</f>
        <v>0</v>
      </c>
      <c r="DY332" s="62">
        <f t="shared" ref="DY332:DY338" si="3672">DX332*$FH332</f>
        <v>0</v>
      </c>
      <c r="DZ332" s="48">
        <f t="shared" ref="DZ332:DZ338" si="3673">IFERROR(ROUNDUP(DX332/$EX332,0)*$EY332,0)</f>
        <v>0</v>
      </c>
      <c r="EA332" s="62">
        <f t="shared" ref="EA332:EA338" si="3674">$DF332*BL332/30</f>
        <v>0</v>
      </c>
      <c r="EB332" s="62">
        <f t="shared" ref="EB332:EB338" si="3675">EA332*$FH332</f>
        <v>0</v>
      </c>
      <c r="EC332" s="48">
        <f t="shared" ref="EC332:EC338" si="3676">IFERROR(ROUNDUP(EA332/$EX332,0)*$EY332,0)</f>
        <v>0</v>
      </c>
      <c r="ED332" s="62">
        <f t="shared" ref="ED332:ED338" si="3677">$DF332*BM332/30</f>
        <v>0</v>
      </c>
      <c r="EE332" s="62">
        <f t="shared" ref="EE332:EE338" si="3678">ED332*$FH332</f>
        <v>0</v>
      </c>
      <c r="EF332" s="48">
        <f t="shared" ref="EF332:EF338" si="3679">IFERROR(ROUNDUP(ED332/$EX332,0)*$EY332,0)</f>
        <v>0</v>
      </c>
      <c r="EG332" s="62">
        <f t="shared" ref="EG332:EG338" si="3680">$DF332*BN332/30</f>
        <v>0</v>
      </c>
      <c r="EH332" s="62">
        <f t="shared" ref="EH332:EH338" si="3681">EG332*$FH332</f>
        <v>0</v>
      </c>
      <c r="EI332" s="48">
        <f t="shared" ref="EI332:EI338" si="3682">IFERROR(ROUNDUP(EG332/$EX332,0)*$EY332,0)</f>
        <v>0</v>
      </c>
      <c r="EJ332" s="62">
        <f t="shared" ref="EJ332:EJ338" si="3683">$DF332*BO332/30</f>
        <v>0</v>
      </c>
      <c r="EK332" s="62">
        <f t="shared" ref="EK332:EK338" si="3684">EJ332*$FH332</f>
        <v>0</v>
      </c>
      <c r="EL332" s="48">
        <f t="shared" ref="EL332:EL338" si="3685">IFERROR(ROUNDUP(EJ332/$EX332,0)*$EY332,0)</f>
        <v>0</v>
      </c>
      <c r="EM332" s="62">
        <f t="shared" ref="EM332:EM338" si="3686">$DF332*BP332/30</f>
        <v>0</v>
      </c>
      <c r="EN332" s="62">
        <f t="shared" ref="EN332:EN338" si="3687">EM332*$FH332</f>
        <v>0</v>
      </c>
      <c r="EO332" s="48">
        <f t="shared" ref="EO332:EO338" si="3688">IFERROR(ROUNDUP(EM332/$EX332,0)*$EY332,0)</f>
        <v>0</v>
      </c>
      <c r="EP332" s="62">
        <f t="shared" si="3635"/>
        <v>27448.32</v>
      </c>
      <c r="EQ332" s="62">
        <f t="shared" si="3635"/>
        <v>423442.56</v>
      </c>
      <c r="ER332" s="62">
        <f t="shared" si="3635"/>
        <v>278365.44</v>
      </c>
      <c r="ES332" s="62">
        <f t="shared" si="3636"/>
        <v>107715.84</v>
      </c>
      <c r="ET332" s="62">
        <f t="shared" si="3636"/>
        <v>278309.76000000001</v>
      </c>
      <c r="EU332" s="62">
        <f t="shared" si="3636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89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 t="shared" si="3622"/>
        <v>1</v>
      </c>
      <c r="FS332" s="120" t="b">
        <f t="shared" si="3623"/>
        <v>1</v>
      </c>
      <c r="FT332" s="120" t="b">
        <f t="shared" si="3624"/>
        <v>1</v>
      </c>
      <c r="FU332" s="120" t="b">
        <f t="shared" si="3625"/>
        <v>1</v>
      </c>
      <c r="FV332" s="120" t="b">
        <f t="shared" si="3626"/>
        <v>1</v>
      </c>
      <c r="FW332" s="104" t="b">
        <f t="shared" si="3637"/>
        <v>0</v>
      </c>
      <c r="FX332" s="120" t="b">
        <f t="shared" ref="FX332:FX338" si="3690">EXACT(FQ332,BI332)</f>
        <v>1</v>
      </c>
      <c r="FY332" s="104" t="s">
        <v>368</v>
      </c>
      <c r="FZ332" s="104" t="b">
        <f t="shared" ref="FZ332:FZ338" si="3691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92">EXACT(GD332,C332)</f>
        <v>1</v>
      </c>
      <c r="GI332" s="8" t="b">
        <f t="shared" ref="GI332:GI338" si="3693">EXACT(GG332,G332)</f>
        <v>0</v>
      </c>
      <c r="GJ332" s="31" t="s">
        <v>203</v>
      </c>
    </row>
    <row r="333" spans="1:192" hidden="1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44"/>
        <v>нет минмакс</v>
      </c>
      <c r="Q333" s="95">
        <v>0</v>
      </c>
      <c r="R333" s="95">
        <f t="shared" si="3645"/>
        <v>0</v>
      </c>
      <c r="S333" s="114">
        <v>14000</v>
      </c>
      <c r="T333" s="114">
        <v>12460</v>
      </c>
      <c r="U333" s="131">
        <f t="shared" si="3646"/>
        <v>1</v>
      </c>
      <c r="V333" s="115">
        <f t="shared" ref="V333:V338" si="3694">SUM(Z333:AD333)</f>
        <v>0</v>
      </c>
      <c r="W333" s="115">
        <f t="shared" si="3647"/>
        <v>0</v>
      </c>
      <c r="X333" s="115">
        <f t="shared" si="3648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49"/>
        <v>0</v>
      </c>
      <c r="AF333" s="95">
        <f t="shared" si="3650"/>
        <v>0</v>
      </c>
      <c r="AG333" s="114">
        <v>0</v>
      </c>
      <c r="AH333" s="95">
        <f t="shared" si="3651"/>
        <v>0</v>
      </c>
      <c r="AI333" s="114">
        <f t="shared" si="3652"/>
        <v>0</v>
      </c>
      <c r="AJ333" s="114">
        <f t="shared" si="3653"/>
        <v>8194</v>
      </c>
      <c r="AK333" s="114">
        <f t="shared" ref="AK333:AK338" si="3695">SUM(CS333:CU333)</f>
        <v>22194</v>
      </c>
      <c r="AL333" s="114">
        <f t="shared" si="3654"/>
        <v>22194</v>
      </c>
      <c r="AM333" s="114">
        <f t="shared" si="3655"/>
        <v>40799</v>
      </c>
      <c r="AN333" s="133">
        <f t="shared" si="3656"/>
        <v>61.766219760288237</v>
      </c>
      <c r="AO333" s="133" t="str">
        <f t="shared" si="3657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58"/>
        <v>нет остатка</v>
      </c>
      <c r="AW333" s="126">
        <f t="shared" si="3659"/>
        <v>0</v>
      </c>
      <c r="AX333" s="138"/>
      <c r="AY333" s="115">
        <f t="shared" si="3660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61"/>
        <v>0</v>
      </c>
      <c r="BG333" s="32">
        <v>0</v>
      </c>
      <c r="BH333" s="32">
        <f t="shared" si="3662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63"/>
        <v>6799.833333333333</v>
      </c>
      <c r="BR333" s="95">
        <f t="shared" si="3664"/>
        <v>-3649</v>
      </c>
      <c r="BS333" s="133">
        <f t="shared" si="3665"/>
        <v>-11763</v>
      </c>
      <c r="BT333" s="133">
        <f t="shared" si="3665"/>
        <v>-20998</v>
      </c>
      <c r="BU333" s="133">
        <f t="shared" si="3665"/>
        <v>-30492</v>
      </c>
      <c r="BV333" s="133">
        <f t="shared" si="3665"/>
        <v>-36418</v>
      </c>
      <c r="BW333" s="133">
        <f t="shared" si="3665"/>
        <v>-40799</v>
      </c>
      <c r="BX333" s="133">
        <f t="shared" si="3643"/>
        <v>-47598.833333333336</v>
      </c>
      <c r="BY333" s="133">
        <f t="shared" si="3643"/>
        <v>-54398.666666666672</v>
      </c>
      <c r="BZ333" s="133">
        <f t="shared" si="3643"/>
        <v>-61198.500000000007</v>
      </c>
      <c r="CA333" s="133">
        <f t="shared" si="3643"/>
        <v>-67998.333333333343</v>
      </c>
      <c r="CB333" s="133">
        <f t="shared" si="3643"/>
        <v>-74798.166666666672</v>
      </c>
      <c r="CC333" s="133">
        <f t="shared" si="3643"/>
        <v>-81598</v>
      </c>
      <c r="CD333" s="133">
        <f t="shared" si="3643"/>
        <v>-88397.833333333328</v>
      </c>
      <c r="CE333" s="133">
        <f t="shared" si="3643"/>
        <v>-95197.666666666657</v>
      </c>
      <c r="CF333" s="133">
        <f t="shared" si="3643"/>
        <v>-101997.49999999999</v>
      </c>
      <c r="CG333" s="133">
        <f t="shared" si="3643"/>
        <v>-108797.33333333331</v>
      </c>
      <c r="CH333" s="133">
        <f t="shared" si="3643"/>
        <v>-115597.16666666664</v>
      </c>
      <c r="CI333" s="133">
        <f t="shared" si="3643"/>
        <v>-122396.99999999997</v>
      </c>
      <c r="CJ333" s="133">
        <f t="shared" si="3643"/>
        <v>-129196.8333333333</v>
      </c>
      <c r="CK333" s="133">
        <f t="shared" si="3643"/>
        <v>-135996.66666666663</v>
      </c>
      <c r="CL333" s="133">
        <f t="shared" si="3643"/>
        <v>-142796.49999999997</v>
      </c>
      <c r="CM333" s="133">
        <f t="shared" si="3643"/>
        <v>-149596.33333333331</v>
      </c>
      <c r="CN333" s="133">
        <f t="shared" si="3643"/>
        <v>-156396.16666666666</v>
      </c>
      <c r="CO333" s="133">
        <f t="shared" si="3643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66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39"/>
        <v>0</v>
      </c>
      <c r="DB333" s="4">
        <f t="shared" si="3640"/>
        <v>0</v>
      </c>
      <c r="DC333" s="4">
        <f t="shared" si="3641"/>
        <v>0</v>
      </c>
      <c r="DD333" s="136">
        <f t="shared" si="3642"/>
        <v>0</v>
      </c>
      <c r="DE333" s="31">
        <v>0</v>
      </c>
      <c r="DG333" s="31">
        <v>0</v>
      </c>
      <c r="DH333" s="48">
        <f t="shared" si="3667"/>
        <v>0</v>
      </c>
      <c r="DI333" s="62">
        <v>0</v>
      </c>
      <c r="DJ333" s="62">
        <v>0</v>
      </c>
      <c r="DK333" s="48">
        <f t="shared" si="3668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69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70"/>
        <v>1</v>
      </c>
      <c r="DV333" s="62">
        <v>8000</v>
      </c>
      <c r="DW333" s="62">
        <v>7129.971428571429</v>
      </c>
      <c r="DX333" s="62">
        <f t="shared" si="3671"/>
        <v>0</v>
      </c>
      <c r="DY333" s="62">
        <f t="shared" si="3672"/>
        <v>0</v>
      </c>
      <c r="DZ333" s="48">
        <f t="shared" si="3673"/>
        <v>0</v>
      </c>
      <c r="EA333" s="62">
        <f t="shared" si="3674"/>
        <v>0</v>
      </c>
      <c r="EB333" s="62">
        <f t="shared" si="3675"/>
        <v>0</v>
      </c>
      <c r="EC333" s="48">
        <f t="shared" si="3676"/>
        <v>0</v>
      </c>
      <c r="ED333" s="62">
        <f t="shared" si="3677"/>
        <v>0</v>
      </c>
      <c r="EE333" s="62">
        <f t="shared" si="3678"/>
        <v>0</v>
      </c>
      <c r="EF333" s="48">
        <f t="shared" si="3679"/>
        <v>0</v>
      </c>
      <c r="EG333" s="62">
        <f t="shared" si="3680"/>
        <v>0</v>
      </c>
      <c r="EH333" s="62">
        <f t="shared" si="3681"/>
        <v>0</v>
      </c>
      <c r="EI333" s="48">
        <f t="shared" si="3682"/>
        <v>0</v>
      </c>
      <c r="EJ333" s="62">
        <f t="shared" si="3683"/>
        <v>0</v>
      </c>
      <c r="EK333" s="62">
        <f t="shared" si="3684"/>
        <v>0</v>
      </c>
      <c r="EL333" s="48">
        <f t="shared" si="3685"/>
        <v>0</v>
      </c>
      <c r="EM333" s="62">
        <f t="shared" si="3686"/>
        <v>0</v>
      </c>
      <c r="EN333" s="62">
        <f t="shared" si="3687"/>
        <v>0</v>
      </c>
      <c r="EO333" s="48">
        <f t="shared" si="3688"/>
        <v>0</v>
      </c>
      <c r="EP333" s="62">
        <f t="shared" si="3635"/>
        <v>3247.61</v>
      </c>
      <c r="EQ333" s="62">
        <f t="shared" si="3635"/>
        <v>7221.46</v>
      </c>
      <c r="ER333" s="62">
        <f t="shared" si="3635"/>
        <v>8219.15</v>
      </c>
      <c r="ES333" s="62">
        <f t="shared" si="3636"/>
        <v>8449.66</v>
      </c>
      <c r="ET333" s="62">
        <f t="shared" si="3636"/>
        <v>5274.14</v>
      </c>
      <c r="EU333" s="62">
        <f t="shared" si="3636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89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 t="shared" si="3622"/>
        <v>1</v>
      </c>
      <c r="FS333" s="120" t="b">
        <f t="shared" si="3623"/>
        <v>1</v>
      </c>
      <c r="FT333" s="120" t="b">
        <f t="shared" si="3624"/>
        <v>1</v>
      </c>
      <c r="FU333" s="120" t="b">
        <f t="shared" si="3625"/>
        <v>1</v>
      </c>
      <c r="FV333" s="120" t="b">
        <f t="shared" si="3626"/>
        <v>1</v>
      </c>
      <c r="FW333" s="104" t="b">
        <f t="shared" si="3637"/>
        <v>0</v>
      </c>
      <c r="FX333" s="120" t="b">
        <f t="shared" si="3690"/>
        <v>1</v>
      </c>
      <c r="FY333" s="104" t="s">
        <v>368</v>
      </c>
      <c r="FZ333" s="104" t="b">
        <f t="shared" si="3691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92"/>
        <v>1</v>
      </c>
      <c r="GI333" s="8" t="b">
        <f t="shared" si="3693"/>
        <v>0</v>
      </c>
      <c r="GJ333" s="31" t="s">
        <v>203</v>
      </c>
    </row>
    <row r="334" spans="1:192" ht="30" hidden="1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44"/>
        <v>нет минмакс</v>
      </c>
      <c r="Q334" s="95">
        <v>759</v>
      </c>
      <c r="R334" s="95">
        <f t="shared" si="3645"/>
        <v>100939.41</v>
      </c>
      <c r="S334" s="114">
        <v>68.180000305175781</v>
      </c>
      <c r="T334" s="114">
        <v>10235.181645812989</v>
      </c>
      <c r="U334" s="131">
        <f t="shared" si="3646"/>
        <v>0</v>
      </c>
      <c r="V334" s="115">
        <f t="shared" si="3694"/>
        <v>309</v>
      </c>
      <c r="W334" s="115">
        <f t="shared" si="3647"/>
        <v>41093.910000000003</v>
      </c>
      <c r="X334" s="115">
        <f t="shared" si="3648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49"/>
        <v>0</v>
      </c>
      <c r="AF334" s="95">
        <f t="shared" si="3650"/>
        <v>0</v>
      </c>
      <c r="AG334" s="114">
        <v>0</v>
      </c>
      <c r="AH334" s="95">
        <f t="shared" si="3651"/>
        <v>309</v>
      </c>
      <c r="AI334" s="114">
        <f t="shared" si="3652"/>
        <v>41093.910000000003</v>
      </c>
      <c r="AJ334" s="114">
        <f t="shared" si="3653"/>
        <v>43</v>
      </c>
      <c r="AK334" s="114">
        <f t="shared" si="3695"/>
        <v>90</v>
      </c>
      <c r="AL334" s="114">
        <f t="shared" si="3654"/>
        <v>233</v>
      </c>
      <c r="AM334" s="114">
        <f t="shared" si="3655"/>
        <v>0</v>
      </c>
      <c r="AN334" s="133" t="str">
        <f t="shared" si="3656"/>
        <v>нет оборота</v>
      </c>
      <c r="AO334" s="133" t="str">
        <f t="shared" si="3657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58"/>
        <v>Нет планов</v>
      </c>
      <c r="AW334" s="126">
        <f t="shared" si="3659"/>
        <v>41093.910000000003</v>
      </c>
      <c r="AX334" s="138"/>
      <c r="AY334" s="115">
        <f t="shared" si="3660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61"/>
        <v>0</v>
      </c>
      <c r="BG334" s="32">
        <v>0</v>
      </c>
      <c r="BH334" s="32">
        <f t="shared" si="3662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63"/>
        <v>0</v>
      </c>
      <c r="BR334" s="95">
        <f t="shared" si="3664"/>
        <v>309</v>
      </c>
      <c r="BS334" s="133">
        <f t="shared" si="3665"/>
        <v>309</v>
      </c>
      <c r="BT334" s="133">
        <f t="shared" si="3665"/>
        <v>309</v>
      </c>
      <c r="BU334" s="133">
        <f t="shared" si="3665"/>
        <v>309</v>
      </c>
      <c r="BV334" s="133">
        <f t="shared" si="3665"/>
        <v>309</v>
      </c>
      <c r="BW334" s="133">
        <f t="shared" si="3665"/>
        <v>309</v>
      </c>
      <c r="BX334" s="133">
        <f t="shared" ref="BX334:CO335" si="3696">BW334-$BQ334</f>
        <v>309</v>
      </c>
      <c r="BY334" s="133">
        <f t="shared" si="3696"/>
        <v>309</v>
      </c>
      <c r="BZ334" s="133">
        <f t="shared" si="3696"/>
        <v>309</v>
      </c>
      <c r="CA334" s="133">
        <f t="shared" si="3696"/>
        <v>309</v>
      </c>
      <c r="CB334" s="133">
        <f t="shared" si="3696"/>
        <v>309</v>
      </c>
      <c r="CC334" s="133">
        <f t="shared" si="3696"/>
        <v>309</v>
      </c>
      <c r="CD334" s="133">
        <f t="shared" si="3696"/>
        <v>309</v>
      </c>
      <c r="CE334" s="133">
        <f t="shared" si="3696"/>
        <v>309</v>
      </c>
      <c r="CF334" s="133">
        <f t="shared" si="3696"/>
        <v>309</v>
      </c>
      <c r="CG334" s="133">
        <f t="shared" si="3696"/>
        <v>309</v>
      </c>
      <c r="CH334" s="133">
        <f t="shared" si="3696"/>
        <v>309</v>
      </c>
      <c r="CI334" s="133">
        <f t="shared" si="3696"/>
        <v>309</v>
      </c>
      <c r="CJ334" s="133">
        <f t="shared" si="3696"/>
        <v>309</v>
      </c>
      <c r="CK334" s="133">
        <f t="shared" si="3696"/>
        <v>309</v>
      </c>
      <c r="CL334" s="133">
        <f t="shared" si="3696"/>
        <v>309</v>
      </c>
      <c r="CM334" s="133">
        <f t="shared" si="3696"/>
        <v>309</v>
      </c>
      <c r="CN334" s="133">
        <f t="shared" si="3696"/>
        <v>309</v>
      </c>
      <c r="CO334" s="133">
        <f t="shared" si="3696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66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39"/>
        <v>0</v>
      </c>
      <c r="DB334" s="4">
        <f t="shared" si="3640"/>
        <v>0</v>
      </c>
      <c r="DC334" s="4">
        <f t="shared" si="3641"/>
        <v>0</v>
      </c>
      <c r="DD334" s="136">
        <f t="shared" si="3642"/>
        <v>0</v>
      </c>
      <c r="DE334" s="31">
        <v>0</v>
      </c>
      <c r="DG334" s="31">
        <v>0</v>
      </c>
      <c r="DH334" s="48">
        <f t="shared" si="3667"/>
        <v>0</v>
      </c>
      <c r="DI334" s="62">
        <v>121.429</v>
      </c>
      <c r="DJ334" s="62">
        <v>17983.014999999999</v>
      </c>
      <c r="DK334" s="48">
        <f t="shared" si="3668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69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70"/>
        <v>0</v>
      </c>
      <c r="DV334" s="62">
        <v>21.82</v>
      </c>
      <c r="DW334" s="62">
        <v>3275.6227133648481</v>
      </c>
      <c r="DX334" s="62">
        <f t="shared" si="3671"/>
        <v>0</v>
      </c>
      <c r="DY334" s="62">
        <f t="shared" si="3672"/>
        <v>0</v>
      </c>
      <c r="DZ334" s="48">
        <f t="shared" si="3673"/>
        <v>0</v>
      </c>
      <c r="EA334" s="62">
        <f t="shared" si="3674"/>
        <v>0</v>
      </c>
      <c r="EB334" s="62">
        <f t="shared" si="3675"/>
        <v>0</v>
      </c>
      <c r="EC334" s="48">
        <f t="shared" si="3676"/>
        <v>0</v>
      </c>
      <c r="ED334" s="62">
        <f t="shared" si="3677"/>
        <v>0</v>
      </c>
      <c r="EE334" s="62">
        <f t="shared" si="3678"/>
        <v>0</v>
      </c>
      <c r="EF334" s="48">
        <f t="shared" si="3679"/>
        <v>0</v>
      </c>
      <c r="EG334" s="62">
        <f t="shared" si="3680"/>
        <v>0</v>
      </c>
      <c r="EH334" s="62">
        <f t="shared" si="3681"/>
        <v>0</v>
      </c>
      <c r="EI334" s="48">
        <f t="shared" si="3682"/>
        <v>0</v>
      </c>
      <c r="EJ334" s="62">
        <f t="shared" si="3683"/>
        <v>0</v>
      </c>
      <c r="EK334" s="62">
        <f t="shared" si="3684"/>
        <v>0</v>
      </c>
      <c r="EL334" s="48">
        <f t="shared" si="3685"/>
        <v>0</v>
      </c>
      <c r="EM334" s="62">
        <f t="shared" si="3686"/>
        <v>0</v>
      </c>
      <c r="EN334" s="62">
        <f t="shared" si="3687"/>
        <v>0</v>
      </c>
      <c r="EO334" s="48">
        <f t="shared" si="3688"/>
        <v>0</v>
      </c>
      <c r="EP334" s="62">
        <f t="shared" si="3635"/>
        <v>0</v>
      </c>
      <c r="EQ334" s="62">
        <f t="shared" si="3635"/>
        <v>0</v>
      </c>
      <c r="ER334" s="62">
        <f t="shared" si="3635"/>
        <v>0</v>
      </c>
      <c r="ES334" s="62">
        <f t="shared" si="3636"/>
        <v>0</v>
      </c>
      <c r="ET334" s="62">
        <f t="shared" si="3636"/>
        <v>0</v>
      </c>
      <c r="EU334" s="62">
        <f t="shared" si="3636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89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 t="shared" si="3622"/>
        <v>1</v>
      </c>
      <c r="FS334" s="120" t="b">
        <f t="shared" si="3623"/>
        <v>1</v>
      </c>
      <c r="FT334" s="120" t="b">
        <f t="shared" si="3624"/>
        <v>1</v>
      </c>
      <c r="FU334" s="120" t="b">
        <f t="shared" si="3625"/>
        <v>1</v>
      </c>
      <c r="FV334" s="120" t="b">
        <f t="shared" si="3626"/>
        <v>1</v>
      </c>
      <c r="FW334" s="104" t="b">
        <f t="shared" si="3637"/>
        <v>0</v>
      </c>
      <c r="FX334" s="120" t="b">
        <f t="shared" si="3690"/>
        <v>1</v>
      </c>
      <c r="FY334" s="104" t="s">
        <v>368</v>
      </c>
      <c r="FZ334" s="104" t="b">
        <f t="shared" si="3691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92"/>
        <v>1</v>
      </c>
      <c r="GI334" s="8" t="b">
        <f t="shared" si="3693"/>
        <v>0</v>
      </c>
      <c r="GJ334" s="31" t="s">
        <v>203</v>
      </c>
    </row>
    <row r="335" spans="1:192" hidden="1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44"/>
        <v>нет минмакс</v>
      </c>
      <c r="Q335" s="95">
        <v>17420</v>
      </c>
      <c r="R335" s="95">
        <f t="shared" si="3645"/>
        <v>81874</v>
      </c>
      <c r="S335" s="114">
        <v>2190</v>
      </c>
      <c r="T335" s="114">
        <v>10358.700000000001</v>
      </c>
      <c r="U335" s="131">
        <f t="shared" si="3646"/>
        <v>1</v>
      </c>
      <c r="V335" s="115">
        <f t="shared" si="3694"/>
        <v>18992</v>
      </c>
      <c r="W335" s="115">
        <f t="shared" si="3647"/>
        <v>89262.400000000009</v>
      </c>
      <c r="X335" s="115">
        <f t="shared" si="3648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49"/>
        <v>0</v>
      </c>
      <c r="AF335" s="95">
        <f t="shared" si="3650"/>
        <v>0</v>
      </c>
      <c r="AG335" s="114">
        <v>0</v>
      </c>
      <c r="AH335" s="95">
        <f t="shared" si="3651"/>
        <v>18992</v>
      </c>
      <c r="AI335" s="114">
        <f t="shared" si="3652"/>
        <v>89262.400000000009</v>
      </c>
      <c r="AJ335" s="114">
        <f t="shared" si="3653"/>
        <v>36293</v>
      </c>
      <c r="AK335" s="114">
        <f t="shared" si="3695"/>
        <v>149506</v>
      </c>
      <c r="AL335" s="114">
        <f t="shared" si="3654"/>
        <v>231647</v>
      </c>
      <c r="AM335" s="114">
        <f t="shared" si="3655"/>
        <v>372399</v>
      </c>
      <c r="AN335" s="133">
        <f t="shared" si="3656"/>
        <v>1.0585420476424481</v>
      </c>
      <c r="AO335" s="133" t="str">
        <f t="shared" si="3657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58"/>
        <v>0-01</v>
      </c>
      <c r="AW335" s="126">
        <f t="shared" si="3659"/>
        <v>0</v>
      </c>
      <c r="AX335" s="138"/>
      <c r="AY335" s="115">
        <f t="shared" si="3660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61"/>
        <v>0</v>
      </c>
      <c r="BG335" s="32">
        <v>0</v>
      </c>
      <c r="BH335" s="32">
        <f t="shared" si="3662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63"/>
        <v>62066.5</v>
      </c>
      <c r="BR335" s="95">
        <f t="shared" si="3664"/>
        <v>-25584</v>
      </c>
      <c r="BS335" s="133">
        <f t="shared" si="3665"/>
        <v>-81181</v>
      </c>
      <c r="BT335" s="133">
        <f t="shared" si="3665"/>
        <v>-146708</v>
      </c>
      <c r="BU335" s="133">
        <f t="shared" si="3665"/>
        <v>-209981</v>
      </c>
      <c r="BV335" s="133">
        <f t="shared" si="3665"/>
        <v>-283523</v>
      </c>
      <c r="BW335" s="133">
        <f t="shared" si="3665"/>
        <v>-353407</v>
      </c>
      <c r="BX335" s="133">
        <f t="shared" si="3696"/>
        <v>-415473.5</v>
      </c>
      <c r="BY335" s="133">
        <f t="shared" si="3696"/>
        <v>-477540</v>
      </c>
      <c r="BZ335" s="133">
        <f t="shared" si="3696"/>
        <v>-539606.5</v>
      </c>
      <c r="CA335" s="133">
        <f t="shared" si="3696"/>
        <v>-601673</v>
      </c>
      <c r="CB335" s="133">
        <f t="shared" si="3696"/>
        <v>-663739.5</v>
      </c>
      <c r="CC335" s="133">
        <f t="shared" si="3696"/>
        <v>-725806</v>
      </c>
      <c r="CD335" s="133">
        <f t="shared" si="3696"/>
        <v>-787872.5</v>
      </c>
      <c r="CE335" s="133">
        <f t="shared" si="3696"/>
        <v>-849939</v>
      </c>
      <c r="CF335" s="133">
        <f t="shared" si="3696"/>
        <v>-912005.5</v>
      </c>
      <c r="CG335" s="133">
        <f t="shared" si="3696"/>
        <v>-974072</v>
      </c>
      <c r="CH335" s="133">
        <f t="shared" si="3696"/>
        <v>-1036138.5</v>
      </c>
      <c r="CI335" s="133">
        <f t="shared" si="3696"/>
        <v>-1098205</v>
      </c>
      <c r="CJ335" s="133">
        <f t="shared" si="3696"/>
        <v>-1160271.5</v>
      </c>
      <c r="CK335" s="133">
        <f t="shared" si="3696"/>
        <v>-1222338</v>
      </c>
      <c r="CL335" s="133">
        <f t="shared" si="3696"/>
        <v>-1284404.5</v>
      </c>
      <c r="CM335" s="133">
        <f t="shared" si="3696"/>
        <v>-1346471</v>
      </c>
      <c r="CN335" s="133">
        <f t="shared" si="3696"/>
        <v>-1408537.5</v>
      </c>
      <c r="CO335" s="133">
        <f t="shared" si="3696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66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39"/>
        <v>0</v>
      </c>
      <c r="DB335" s="4">
        <f t="shared" si="3640"/>
        <v>0</v>
      </c>
      <c r="DC335" s="4">
        <f t="shared" si="3641"/>
        <v>0</v>
      </c>
      <c r="DD335" s="136">
        <f t="shared" si="3642"/>
        <v>0</v>
      </c>
      <c r="DE335" s="31">
        <v>0</v>
      </c>
      <c r="DG335" s="31">
        <v>0</v>
      </c>
      <c r="DH335" s="48">
        <f t="shared" si="3667"/>
        <v>0</v>
      </c>
      <c r="DI335" s="62">
        <v>27727.095999999998</v>
      </c>
      <c r="DJ335" s="62">
        <v>123737.448</v>
      </c>
      <c r="DK335" s="48">
        <f t="shared" si="3668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69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70"/>
        <v>2</v>
      </c>
      <c r="DV335" s="62">
        <v>61556</v>
      </c>
      <c r="DW335" s="62">
        <v>283611.38028529752</v>
      </c>
      <c r="DX335" s="62">
        <f t="shared" si="3671"/>
        <v>0</v>
      </c>
      <c r="DY335" s="62">
        <f t="shared" si="3672"/>
        <v>0</v>
      </c>
      <c r="DZ335" s="48">
        <f t="shared" si="3673"/>
        <v>0</v>
      </c>
      <c r="EA335" s="62">
        <f t="shared" si="3674"/>
        <v>0</v>
      </c>
      <c r="EB335" s="62">
        <f t="shared" si="3675"/>
        <v>0</v>
      </c>
      <c r="EC335" s="48">
        <f t="shared" si="3676"/>
        <v>0</v>
      </c>
      <c r="ED335" s="62">
        <f t="shared" si="3677"/>
        <v>0</v>
      </c>
      <c r="EE335" s="62">
        <f t="shared" si="3678"/>
        <v>0</v>
      </c>
      <c r="EF335" s="48">
        <f t="shared" si="3679"/>
        <v>0</v>
      </c>
      <c r="EG335" s="62">
        <f t="shared" si="3680"/>
        <v>0</v>
      </c>
      <c r="EH335" s="62">
        <f t="shared" si="3681"/>
        <v>0</v>
      </c>
      <c r="EI335" s="48">
        <f t="shared" si="3682"/>
        <v>0</v>
      </c>
      <c r="EJ335" s="62">
        <f t="shared" si="3683"/>
        <v>0</v>
      </c>
      <c r="EK335" s="62">
        <f t="shared" si="3684"/>
        <v>0</v>
      </c>
      <c r="EL335" s="48">
        <f t="shared" si="3685"/>
        <v>0</v>
      </c>
      <c r="EM335" s="62">
        <f t="shared" si="3686"/>
        <v>0</v>
      </c>
      <c r="EN335" s="62">
        <f t="shared" si="3687"/>
        <v>0</v>
      </c>
      <c r="EO335" s="48">
        <f t="shared" si="3688"/>
        <v>0</v>
      </c>
      <c r="EP335" s="62">
        <f t="shared" si="3635"/>
        <v>209507.20000000001</v>
      </c>
      <c r="EQ335" s="62">
        <f t="shared" si="3635"/>
        <v>261305.90000000002</v>
      </c>
      <c r="ER335" s="62">
        <f t="shared" si="3635"/>
        <v>307976.90000000002</v>
      </c>
      <c r="ES335" s="62">
        <f t="shared" si="3636"/>
        <v>297383.10000000003</v>
      </c>
      <c r="ET335" s="62">
        <f t="shared" si="3636"/>
        <v>345647.4</v>
      </c>
      <c r="EU335" s="62">
        <f t="shared" si="3636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89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 t="shared" si="3622"/>
        <v>1</v>
      </c>
      <c r="FS335" s="120" t="b">
        <f t="shared" si="3623"/>
        <v>1</v>
      </c>
      <c r="FT335" s="120" t="b">
        <f t="shared" si="3624"/>
        <v>1</v>
      </c>
      <c r="FU335" s="120" t="b">
        <f t="shared" si="3625"/>
        <v>1</v>
      </c>
      <c r="FV335" s="120" t="b">
        <f t="shared" si="3626"/>
        <v>1</v>
      </c>
      <c r="FW335" s="104" t="b">
        <f t="shared" si="3637"/>
        <v>0</v>
      </c>
      <c r="FX335" s="120" t="b">
        <f t="shared" si="3690"/>
        <v>1</v>
      </c>
      <c r="FY335" s="104" t="s">
        <v>368</v>
      </c>
      <c r="FZ335" s="104" t="b">
        <f t="shared" si="3691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92"/>
        <v>1</v>
      </c>
      <c r="GI335" s="8" t="b">
        <f t="shared" si="3693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44"/>
        <v>в диапазоне</v>
      </c>
      <c r="Q336" s="95">
        <v>52</v>
      </c>
      <c r="R336" s="95">
        <f t="shared" si="3645"/>
        <v>8424</v>
      </c>
      <c r="S336" s="131">
        <v>60</v>
      </c>
      <c r="T336" s="131">
        <v>9720</v>
      </c>
      <c r="U336" s="131">
        <f t="shared" si="3646"/>
        <v>1</v>
      </c>
      <c r="V336" s="113">
        <f t="shared" si="3694"/>
        <v>233.5</v>
      </c>
      <c r="W336" s="113">
        <f t="shared" si="3647"/>
        <v>37827</v>
      </c>
      <c r="X336" s="113">
        <f t="shared" si="3648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49"/>
        <v>0</v>
      </c>
      <c r="AF336" s="95">
        <f t="shared" si="3650"/>
        <v>0</v>
      </c>
      <c r="AG336" s="114">
        <v>0</v>
      </c>
      <c r="AH336" s="95">
        <f t="shared" si="3651"/>
        <v>233.5</v>
      </c>
      <c r="AI336" s="114">
        <f t="shared" si="3652"/>
        <v>37827</v>
      </c>
      <c r="AJ336" s="133">
        <f t="shared" si="3653"/>
        <v>88</v>
      </c>
      <c r="AK336" s="133">
        <f t="shared" si="3695"/>
        <v>129</v>
      </c>
      <c r="AL336" s="133">
        <f t="shared" si="3654"/>
        <v>129</v>
      </c>
      <c r="AM336" s="133">
        <f t="shared" si="3655"/>
        <v>498.6</v>
      </c>
      <c r="AN336" s="133">
        <f t="shared" si="3656"/>
        <v>14.440433212996389</v>
      </c>
      <c r="AO336" s="133" t="str">
        <f t="shared" si="3657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58"/>
        <v>0-03</v>
      </c>
      <c r="AW336" s="117">
        <f t="shared" si="3659"/>
        <v>0</v>
      </c>
      <c r="AX336" s="14"/>
      <c r="AY336" s="25">
        <f t="shared" si="3660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61"/>
        <v>0</v>
      </c>
      <c r="BG336" s="32">
        <v>0</v>
      </c>
      <c r="BH336" s="32">
        <f t="shared" si="3662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63"/>
        <v>124.65</v>
      </c>
      <c r="BR336" s="95">
        <f t="shared" si="3664"/>
        <v>86.94</v>
      </c>
      <c r="BS336" s="133">
        <f t="shared" si="3665"/>
        <v>86.94</v>
      </c>
      <c r="BT336" s="133">
        <f t="shared" si="3665"/>
        <v>-59.620000000000005</v>
      </c>
      <c r="BU336" s="133">
        <f t="shared" si="3665"/>
        <v>-59.620000000000005</v>
      </c>
      <c r="BV336" s="133">
        <f t="shared" si="3665"/>
        <v>-206.18</v>
      </c>
      <c r="BW336" s="133">
        <f t="shared" si="3665"/>
        <v>-265.10000000000002</v>
      </c>
      <c r="BX336" s="133">
        <f t="shared" ref="BX336:CO336" si="3697">BW336-$BQ336</f>
        <v>-389.75</v>
      </c>
      <c r="BY336" s="133">
        <f t="shared" si="3697"/>
        <v>-514.4</v>
      </c>
      <c r="BZ336" s="133">
        <f t="shared" si="3697"/>
        <v>-639.04999999999995</v>
      </c>
      <c r="CA336" s="133">
        <f t="shared" si="3697"/>
        <v>-763.69999999999993</v>
      </c>
      <c r="CB336" s="133">
        <f t="shared" si="3697"/>
        <v>-888.34999999999991</v>
      </c>
      <c r="CC336" s="133">
        <f t="shared" si="3697"/>
        <v>-1012.9999999999999</v>
      </c>
      <c r="CD336" s="133">
        <f t="shared" si="3697"/>
        <v>-1137.6499999999999</v>
      </c>
      <c r="CE336" s="133">
        <f t="shared" si="3697"/>
        <v>-1262.3</v>
      </c>
      <c r="CF336" s="133">
        <f t="shared" si="3697"/>
        <v>-1386.95</v>
      </c>
      <c r="CG336" s="133">
        <f t="shared" si="3697"/>
        <v>-1511.6000000000001</v>
      </c>
      <c r="CH336" s="133">
        <f t="shared" si="3697"/>
        <v>-1636.2500000000002</v>
      </c>
      <c r="CI336" s="133">
        <f t="shared" si="3697"/>
        <v>-1760.9000000000003</v>
      </c>
      <c r="CJ336" s="133">
        <f t="shared" si="3697"/>
        <v>-1885.5500000000004</v>
      </c>
      <c r="CK336" s="133">
        <f t="shared" si="3697"/>
        <v>-2010.2000000000005</v>
      </c>
      <c r="CL336" s="133">
        <f t="shared" si="3697"/>
        <v>-2134.8500000000004</v>
      </c>
      <c r="CM336" s="133">
        <f t="shared" si="3697"/>
        <v>-2259.5000000000005</v>
      </c>
      <c r="CN336" s="133">
        <f t="shared" si="3697"/>
        <v>-2384.1500000000005</v>
      </c>
      <c r="CO336" s="133">
        <f t="shared" si="3697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66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98">IFERROR(CZ336/CY336,0)</f>
        <v>0</v>
      </c>
      <c r="DB336" s="4">
        <f t="shared" ref="DB336:DB338" si="3699">CY336*FH336</f>
        <v>0</v>
      </c>
      <c r="DC336" s="4">
        <f t="shared" ref="DC336:DC338" si="3700">CZ336*FH336</f>
        <v>0</v>
      </c>
      <c r="DD336" s="136">
        <f t="shared" ref="DD336:DD338" si="3701">IFERROR(DC336/DB336,0)</f>
        <v>0</v>
      </c>
      <c r="DE336" s="31">
        <v>0</v>
      </c>
      <c r="DF336" s="31">
        <v>45</v>
      </c>
      <c r="DG336" s="31">
        <v>60</v>
      </c>
      <c r="DH336" s="48">
        <f t="shared" si="3667"/>
        <v>1</v>
      </c>
      <c r="DI336" s="62">
        <v>0</v>
      </c>
      <c r="DJ336" s="62">
        <v>0</v>
      </c>
      <c r="DK336" s="48">
        <f t="shared" si="3668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69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70"/>
        <v>1</v>
      </c>
      <c r="DV336" s="62">
        <v>0</v>
      </c>
      <c r="DW336" s="62">
        <v>0</v>
      </c>
      <c r="DX336" s="62">
        <f t="shared" si="3671"/>
        <v>219.84</v>
      </c>
      <c r="DY336" s="62">
        <f t="shared" si="3672"/>
        <v>35614.080000000002</v>
      </c>
      <c r="DZ336" s="48">
        <f t="shared" si="3673"/>
        <v>1</v>
      </c>
      <c r="EA336" s="62">
        <f t="shared" si="3674"/>
        <v>0</v>
      </c>
      <c r="EB336" s="62">
        <f t="shared" si="3675"/>
        <v>0</v>
      </c>
      <c r="EC336" s="48">
        <f t="shared" si="3676"/>
        <v>0</v>
      </c>
      <c r="ED336" s="62">
        <f t="shared" si="3677"/>
        <v>219.84</v>
      </c>
      <c r="EE336" s="62">
        <f t="shared" si="3678"/>
        <v>35614.080000000002</v>
      </c>
      <c r="EF336" s="48">
        <f t="shared" si="3679"/>
        <v>1</v>
      </c>
      <c r="EG336" s="62">
        <f t="shared" si="3680"/>
        <v>0</v>
      </c>
      <c r="EH336" s="62">
        <f t="shared" si="3681"/>
        <v>0</v>
      </c>
      <c r="EI336" s="48">
        <f t="shared" si="3682"/>
        <v>0</v>
      </c>
      <c r="EJ336" s="62">
        <f t="shared" si="3683"/>
        <v>219.84</v>
      </c>
      <c r="EK336" s="62">
        <f t="shared" si="3684"/>
        <v>35614.080000000002</v>
      </c>
      <c r="EL336" s="48">
        <f t="shared" si="3685"/>
        <v>1</v>
      </c>
      <c r="EM336" s="62">
        <f t="shared" si="3686"/>
        <v>88.38000000000001</v>
      </c>
      <c r="EN336" s="62">
        <f t="shared" si="3687"/>
        <v>14317.560000000001</v>
      </c>
      <c r="EO336" s="48">
        <f t="shared" si="3688"/>
        <v>1</v>
      </c>
      <c r="EP336" s="62">
        <f t="shared" ref="EP336:EU338" si="3702">BK336*$FH336</f>
        <v>23742.720000000001</v>
      </c>
      <c r="EQ336" s="62">
        <f t="shared" si="3702"/>
        <v>0</v>
      </c>
      <c r="ER336" s="62">
        <f t="shared" si="3702"/>
        <v>23742.720000000001</v>
      </c>
      <c r="ES336" s="62">
        <f t="shared" si="3702"/>
        <v>0</v>
      </c>
      <c r="ET336" s="62">
        <f t="shared" si="3702"/>
        <v>23742.720000000001</v>
      </c>
      <c r="EU336" s="62">
        <f t="shared" si="3702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89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 t="shared" si="3622"/>
        <v>1</v>
      </c>
      <c r="FS336" s="103" t="b">
        <f t="shared" si="3623"/>
        <v>1</v>
      </c>
      <c r="FT336" s="103" t="b">
        <f t="shared" si="3624"/>
        <v>1</v>
      </c>
      <c r="FU336" s="103" t="b">
        <f t="shared" si="3625"/>
        <v>1</v>
      </c>
      <c r="FV336" s="103" t="b">
        <f t="shared" si="3626"/>
        <v>1</v>
      </c>
      <c r="FW336" s="104" t="b">
        <f t="shared" si="3637"/>
        <v>0</v>
      </c>
      <c r="FX336" s="120" t="b">
        <f t="shared" si="3690"/>
        <v>1</v>
      </c>
      <c r="FY336" s="104" t="s">
        <v>491</v>
      </c>
      <c r="FZ336" s="104" t="b">
        <f t="shared" si="3691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92"/>
        <v>1</v>
      </c>
      <c r="GI336" s="8" t="b">
        <f t="shared" si="3693"/>
        <v>0</v>
      </c>
      <c r="GJ336" s="31" t="s">
        <v>203</v>
      </c>
    </row>
    <row r="337" spans="1:192" hidden="1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44"/>
        <v>нет минмакс</v>
      </c>
      <c r="Q337" s="95">
        <v>0</v>
      </c>
      <c r="R337" s="95">
        <f t="shared" si="3645"/>
        <v>0</v>
      </c>
      <c r="S337" s="114">
        <v>33</v>
      </c>
      <c r="T337" s="114">
        <v>8985.5700000000015</v>
      </c>
      <c r="U337" s="131">
        <f t="shared" si="3646"/>
        <v>0</v>
      </c>
      <c r="V337" s="115">
        <f t="shared" si="3694"/>
        <v>0</v>
      </c>
      <c r="W337" s="115">
        <f t="shared" si="3647"/>
        <v>0</v>
      </c>
      <c r="X337" s="115">
        <f t="shared" si="3648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49"/>
        <v>0</v>
      </c>
      <c r="AF337" s="95">
        <f t="shared" si="3650"/>
        <v>0</v>
      </c>
      <c r="AG337" s="114">
        <v>0</v>
      </c>
      <c r="AH337" s="95">
        <f t="shared" si="3651"/>
        <v>0</v>
      </c>
      <c r="AI337" s="114">
        <f t="shared" si="3652"/>
        <v>0</v>
      </c>
      <c r="AJ337" s="114">
        <f t="shared" si="3653"/>
        <v>0</v>
      </c>
      <c r="AK337" s="114">
        <f t="shared" si="3695"/>
        <v>33</v>
      </c>
      <c r="AL337" s="114">
        <f t="shared" si="3654"/>
        <v>33</v>
      </c>
      <c r="AM337" s="114">
        <f t="shared" si="3655"/>
        <v>0</v>
      </c>
      <c r="AN337" s="133" t="str">
        <f t="shared" si="3656"/>
        <v>нет оборота</v>
      </c>
      <c r="AO337" s="133" t="str">
        <f t="shared" si="3657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58"/>
        <v>нет остатка</v>
      </c>
      <c r="AW337" s="126">
        <f t="shared" si="3659"/>
        <v>0</v>
      </c>
      <c r="AX337" s="138"/>
      <c r="AY337" s="115">
        <f t="shared" si="3660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61"/>
        <v>0</v>
      </c>
      <c r="BG337" s="32">
        <v>0</v>
      </c>
      <c r="BH337" s="32">
        <f t="shared" si="3662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63"/>
        <v>0</v>
      </c>
      <c r="BR337" s="95">
        <f t="shared" si="3664"/>
        <v>0</v>
      </c>
      <c r="BS337" s="133">
        <f t="shared" si="3665"/>
        <v>0</v>
      </c>
      <c r="BT337" s="133">
        <f t="shared" si="3665"/>
        <v>0</v>
      </c>
      <c r="BU337" s="133">
        <f t="shared" si="3665"/>
        <v>0</v>
      </c>
      <c r="BV337" s="133">
        <f t="shared" si="3665"/>
        <v>0</v>
      </c>
      <c r="BW337" s="133">
        <f t="shared" si="3665"/>
        <v>0</v>
      </c>
      <c r="BX337" s="133">
        <f t="shared" ref="BX337:CO338" si="3703">BW337-$BQ337</f>
        <v>0</v>
      </c>
      <c r="BY337" s="133">
        <f t="shared" si="3703"/>
        <v>0</v>
      </c>
      <c r="BZ337" s="133">
        <f t="shared" si="3703"/>
        <v>0</v>
      </c>
      <c r="CA337" s="133">
        <f t="shared" si="3703"/>
        <v>0</v>
      </c>
      <c r="CB337" s="133">
        <f t="shared" si="3703"/>
        <v>0</v>
      </c>
      <c r="CC337" s="133">
        <f t="shared" si="3703"/>
        <v>0</v>
      </c>
      <c r="CD337" s="133">
        <f t="shared" si="3703"/>
        <v>0</v>
      </c>
      <c r="CE337" s="133">
        <f t="shared" si="3703"/>
        <v>0</v>
      </c>
      <c r="CF337" s="133">
        <f t="shared" si="3703"/>
        <v>0</v>
      </c>
      <c r="CG337" s="133">
        <f t="shared" si="3703"/>
        <v>0</v>
      </c>
      <c r="CH337" s="133">
        <f t="shared" si="3703"/>
        <v>0</v>
      </c>
      <c r="CI337" s="133">
        <f t="shared" si="3703"/>
        <v>0</v>
      </c>
      <c r="CJ337" s="133">
        <f t="shared" si="3703"/>
        <v>0</v>
      </c>
      <c r="CK337" s="133">
        <f t="shared" si="3703"/>
        <v>0</v>
      </c>
      <c r="CL337" s="133">
        <f t="shared" si="3703"/>
        <v>0</v>
      </c>
      <c r="CM337" s="133">
        <f t="shared" si="3703"/>
        <v>0</v>
      </c>
      <c r="CN337" s="133">
        <f t="shared" si="3703"/>
        <v>0</v>
      </c>
      <c r="CO337" s="133">
        <f t="shared" si="3703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66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98"/>
        <v>0</v>
      </c>
      <c r="DB337" s="4">
        <f t="shared" si="3699"/>
        <v>0</v>
      </c>
      <c r="DC337" s="4">
        <f t="shared" si="3700"/>
        <v>0</v>
      </c>
      <c r="DD337" s="136">
        <f t="shared" si="3701"/>
        <v>0</v>
      </c>
      <c r="DE337" s="31">
        <v>0</v>
      </c>
      <c r="DG337" s="31">
        <v>0</v>
      </c>
      <c r="DH337" s="48">
        <f t="shared" si="3667"/>
        <v>0</v>
      </c>
      <c r="DI337" s="62">
        <v>33</v>
      </c>
      <c r="DJ337" s="62">
        <v>8985.57</v>
      </c>
      <c r="DK337" s="48">
        <f t="shared" si="3668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69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70"/>
        <v>0</v>
      </c>
      <c r="DV337" s="62">
        <v>0</v>
      </c>
      <c r="DW337" s="62">
        <v>0</v>
      </c>
      <c r="DX337" s="62">
        <f t="shared" si="3671"/>
        <v>0</v>
      </c>
      <c r="DY337" s="62">
        <f t="shared" si="3672"/>
        <v>0</v>
      </c>
      <c r="DZ337" s="48">
        <f t="shared" si="3673"/>
        <v>0</v>
      </c>
      <c r="EA337" s="62">
        <f t="shared" si="3674"/>
        <v>0</v>
      </c>
      <c r="EB337" s="62">
        <f t="shared" si="3675"/>
        <v>0</v>
      </c>
      <c r="EC337" s="48">
        <f t="shared" si="3676"/>
        <v>0</v>
      </c>
      <c r="ED337" s="62">
        <f t="shared" si="3677"/>
        <v>0</v>
      </c>
      <c r="EE337" s="62">
        <f t="shared" si="3678"/>
        <v>0</v>
      </c>
      <c r="EF337" s="48">
        <f t="shared" si="3679"/>
        <v>0</v>
      </c>
      <c r="EG337" s="62">
        <f t="shared" si="3680"/>
        <v>0</v>
      </c>
      <c r="EH337" s="62">
        <f t="shared" si="3681"/>
        <v>0</v>
      </c>
      <c r="EI337" s="48">
        <f t="shared" si="3682"/>
        <v>0</v>
      </c>
      <c r="EJ337" s="62">
        <f t="shared" si="3683"/>
        <v>0</v>
      </c>
      <c r="EK337" s="62">
        <f t="shared" si="3684"/>
        <v>0</v>
      </c>
      <c r="EL337" s="48">
        <f t="shared" si="3685"/>
        <v>0</v>
      </c>
      <c r="EM337" s="62">
        <f t="shared" si="3686"/>
        <v>0</v>
      </c>
      <c r="EN337" s="62">
        <f t="shared" si="3687"/>
        <v>0</v>
      </c>
      <c r="EO337" s="48">
        <f t="shared" si="3688"/>
        <v>0</v>
      </c>
      <c r="EP337" s="62">
        <f t="shared" si="3702"/>
        <v>0</v>
      </c>
      <c r="EQ337" s="62">
        <f t="shared" si="3702"/>
        <v>0</v>
      </c>
      <c r="ER337" s="62">
        <f t="shared" si="3702"/>
        <v>0</v>
      </c>
      <c r="ES337" s="62">
        <f t="shared" si="3702"/>
        <v>0</v>
      </c>
      <c r="ET337" s="62">
        <f t="shared" si="3702"/>
        <v>0</v>
      </c>
      <c r="EU337" s="62">
        <f t="shared" si="3702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89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 t="shared" si="3622"/>
        <v>1</v>
      </c>
      <c r="FS337" s="120" t="b">
        <f t="shared" si="3623"/>
        <v>1</v>
      </c>
      <c r="FT337" s="120" t="b">
        <f t="shared" si="3624"/>
        <v>1</v>
      </c>
      <c r="FU337" s="120" t="b">
        <f t="shared" si="3625"/>
        <v>1</v>
      </c>
      <c r="FV337" s="120" t="b">
        <f t="shared" si="3626"/>
        <v>1</v>
      </c>
      <c r="FW337" s="104" t="b">
        <f t="shared" si="3637"/>
        <v>0</v>
      </c>
      <c r="FX337" s="120" t="b">
        <f t="shared" si="3690"/>
        <v>1</v>
      </c>
      <c r="FY337" s="104" t="s">
        <v>368</v>
      </c>
      <c r="FZ337" s="104" t="b">
        <f t="shared" si="3691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92"/>
        <v>1</v>
      </c>
      <c r="GI337" s="8" t="b">
        <f t="shared" si="3693"/>
        <v>0</v>
      </c>
      <c r="GJ337" s="31" t="s">
        <v>203</v>
      </c>
    </row>
    <row r="338" spans="1:192" hidden="1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44"/>
        <v>нет минмакс</v>
      </c>
      <c r="Q338" s="95">
        <v>51273</v>
      </c>
      <c r="R338" s="95">
        <f t="shared" si="3645"/>
        <v>98444.160000000003</v>
      </c>
      <c r="S338" s="114">
        <v>4071</v>
      </c>
      <c r="T338" s="114">
        <v>8386.26</v>
      </c>
      <c r="U338" s="131">
        <f t="shared" si="3646"/>
        <v>1</v>
      </c>
      <c r="V338" s="115">
        <f t="shared" si="3694"/>
        <v>65683</v>
      </c>
      <c r="W338" s="115">
        <f t="shared" si="3647"/>
        <v>126111.36</v>
      </c>
      <c r="X338" s="115">
        <f t="shared" si="3648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49"/>
        <v>0</v>
      </c>
      <c r="AF338" s="95">
        <f t="shared" si="3650"/>
        <v>0</v>
      </c>
      <c r="AG338" s="114">
        <v>0</v>
      </c>
      <c r="AH338" s="95">
        <f t="shared" si="3651"/>
        <v>65683</v>
      </c>
      <c r="AI338" s="114">
        <f t="shared" si="3652"/>
        <v>126111.36</v>
      </c>
      <c r="AJ338" s="114">
        <f t="shared" si="3653"/>
        <v>254332</v>
      </c>
      <c r="AK338" s="114">
        <f t="shared" si="3695"/>
        <v>490355</v>
      </c>
      <c r="AL338" s="114">
        <f t="shared" si="3654"/>
        <v>740956</v>
      </c>
      <c r="AM338" s="114">
        <f t="shared" si="3655"/>
        <v>981177</v>
      </c>
      <c r="AN338" s="133">
        <f t="shared" si="3656"/>
        <v>0.74683772652640656</v>
      </c>
      <c r="AO338" s="133" t="str">
        <f t="shared" si="3657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58"/>
        <v>0-01</v>
      </c>
      <c r="AW338" s="126">
        <f t="shared" si="3659"/>
        <v>0</v>
      </c>
      <c r="AX338" s="138"/>
      <c r="AY338" s="115">
        <f t="shared" si="3660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61"/>
        <v>0</v>
      </c>
      <c r="BG338" s="32">
        <v>0</v>
      </c>
      <c r="BH338" s="32">
        <f t="shared" si="3662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63"/>
        <v>163529.5</v>
      </c>
      <c r="BR338" s="95">
        <f t="shared" si="3664"/>
        <v>-94834</v>
      </c>
      <c r="BS338" s="133">
        <f t="shared" ref="BS338:BW342" si="3704">BR338-BL338</f>
        <v>-376541</v>
      </c>
      <c r="BT338" s="133">
        <f t="shared" si="3704"/>
        <v>-547453</v>
      </c>
      <c r="BU338" s="133">
        <f t="shared" si="3704"/>
        <v>-675116</v>
      </c>
      <c r="BV338" s="133">
        <f t="shared" si="3704"/>
        <v>-815665</v>
      </c>
      <c r="BW338" s="133">
        <f t="shared" si="3704"/>
        <v>-915494</v>
      </c>
      <c r="BX338" s="133">
        <f t="shared" si="3703"/>
        <v>-1079023.5</v>
      </c>
      <c r="BY338" s="133">
        <f t="shared" si="3703"/>
        <v>-1242553</v>
      </c>
      <c r="BZ338" s="133">
        <f t="shared" si="3703"/>
        <v>-1406082.5</v>
      </c>
      <c r="CA338" s="133">
        <f t="shared" si="3703"/>
        <v>-1569612</v>
      </c>
      <c r="CB338" s="133">
        <f t="shared" si="3703"/>
        <v>-1733141.5</v>
      </c>
      <c r="CC338" s="133">
        <f t="shared" si="3703"/>
        <v>-1896671</v>
      </c>
      <c r="CD338" s="133">
        <f t="shared" si="3703"/>
        <v>-2060200.5</v>
      </c>
      <c r="CE338" s="133">
        <f t="shared" si="3703"/>
        <v>-2223730</v>
      </c>
      <c r="CF338" s="133">
        <f t="shared" si="3703"/>
        <v>-2387259.5</v>
      </c>
      <c r="CG338" s="133">
        <f t="shared" si="3703"/>
        <v>-2550789</v>
      </c>
      <c r="CH338" s="133">
        <f t="shared" si="3703"/>
        <v>-2714318.5</v>
      </c>
      <c r="CI338" s="133">
        <f t="shared" si="3703"/>
        <v>-2877848</v>
      </c>
      <c r="CJ338" s="133">
        <f t="shared" si="3703"/>
        <v>-3041377.5</v>
      </c>
      <c r="CK338" s="133">
        <f t="shared" si="3703"/>
        <v>-3204907</v>
      </c>
      <c r="CL338" s="133">
        <f t="shared" si="3703"/>
        <v>-3368436.5</v>
      </c>
      <c r="CM338" s="133">
        <f t="shared" si="3703"/>
        <v>-3531966</v>
      </c>
      <c r="CN338" s="133">
        <f t="shared" si="3703"/>
        <v>-3695495.5</v>
      </c>
      <c r="CO338" s="133">
        <f t="shared" si="3703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66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98"/>
        <v>0</v>
      </c>
      <c r="DB338" s="4">
        <f t="shared" si="3699"/>
        <v>0</v>
      </c>
      <c r="DC338" s="4">
        <f t="shared" si="3700"/>
        <v>0</v>
      </c>
      <c r="DD338" s="136">
        <f t="shared" si="3701"/>
        <v>0</v>
      </c>
      <c r="DE338" s="31">
        <v>0</v>
      </c>
      <c r="DG338" s="31">
        <v>0</v>
      </c>
      <c r="DH338" s="48">
        <f t="shared" si="3667"/>
        <v>0</v>
      </c>
      <c r="DI338" s="62">
        <v>29317.161000000004</v>
      </c>
      <c r="DJ338" s="62">
        <v>61635.866000000002</v>
      </c>
      <c r="DK338" s="48">
        <f t="shared" si="3668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69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70"/>
        <v>1</v>
      </c>
      <c r="DV338" s="62">
        <v>106219</v>
      </c>
      <c r="DW338" s="62">
        <v>224942.74416801095</v>
      </c>
      <c r="DX338" s="62">
        <f t="shared" si="3671"/>
        <v>0</v>
      </c>
      <c r="DY338" s="62">
        <f t="shared" si="3672"/>
        <v>0</v>
      </c>
      <c r="DZ338" s="48">
        <f t="shared" si="3673"/>
        <v>0</v>
      </c>
      <c r="EA338" s="62">
        <f t="shared" si="3674"/>
        <v>0</v>
      </c>
      <c r="EB338" s="62">
        <f t="shared" si="3675"/>
        <v>0</v>
      </c>
      <c r="EC338" s="48">
        <f t="shared" si="3676"/>
        <v>0</v>
      </c>
      <c r="ED338" s="62">
        <f t="shared" si="3677"/>
        <v>0</v>
      </c>
      <c r="EE338" s="62">
        <f t="shared" si="3678"/>
        <v>0</v>
      </c>
      <c r="EF338" s="48">
        <f t="shared" si="3679"/>
        <v>0</v>
      </c>
      <c r="EG338" s="62">
        <f t="shared" si="3680"/>
        <v>0</v>
      </c>
      <c r="EH338" s="62">
        <f t="shared" si="3681"/>
        <v>0</v>
      </c>
      <c r="EI338" s="48">
        <f t="shared" si="3682"/>
        <v>0</v>
      </c>
      <c r="EJ338" s="62">
        <f t="shared" si="3683"/>
        <v>0</v>
      </c>
      <c r="EK338" s="62">
        <f t="shared" si="3684"/>
        <v>0</v>
      </c>
      <c r="EL338" s="48">
        <f t="shared" si="3685"/>
        <v>0</v>
      </c>
      <c r="EM338" s="62">
        <f t="shared" si="3686"/>
        <v>0</v>
      </c>
      <c r="EN338" s="62">
        <f t="shared" si="3687"/>
        <v>0</v>
      </c>
      <c r="EO338" s="48">
        <f t="shared" si="3688"/>
        <v>0</v>
      </c>
      <c r="EP338" s="62">
        <f t="shared" si="3702"/>
        <v>308192.64000000001</v>
      </c>
      <c r="EQ338" s="62">
        <f t="shared" si="3702"/>
        <v>540877.43999999994</v>
      </c>
      <c r="ER338" s="62">
        <f t="shared" si="3702"/>
        <v>328151.03999999998</v>
      </c>
      <c r="ES338" s="62">
        <f t="shared" si="3702"/>
        <v>245112.95999999999</v>
      </c>
      <c r="ET338" s="62">
        <f t="shared" si="3702"/>
        <v>269854.08000000002</v>
      </c>
      <c r="EU338" s="62">
        <f t="shared" si="3702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89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 t="shared" si="3622"/>
        <v>1</v>
      </c>
      <c r="FS338" s="120" t="b">
        <f t="shared" si="3623"/>
        <v>1</v>
      </c>
      <c r="FT338" s="120" t="b">
        <f t="shared" si="3624"/>
        <v>1</v>
      </c>
      <c r="FU338" s="120" t="b">
        <f t="shared" si="3625"/>
        <v>1</v>
      </c>
      <c r="FV338" s="120" t="b">
        <f t="shared" si="3626"/>
        <v>1</v>
      </c>
      <c r="FW338" s="104" t="b">
        <f t="shared" si="3637"/>
        <v>0</v>
      </c>
      <c r="FX338" s="120" t="b">
        <f t="shared" si="3690"/>
        <v>1</v>
      </c>
      <c r="FY338" s="104" t="s">
        <v>368</v>
      </c>
      <c r="FZ338" s="104" t="b">
        <f t="shared" si="3691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92"/>
        <v>1</v>
      </c>
      <c r="GI338" s="8" t="b">
        <f t="shared" si="3693"/>
        <v>0</v>
      </c>
      <c r="GJ338" s="31" t="s">
        <v>203</v>
      </c>
    </row>
    <row r="339" spans="1:192" hidden="1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705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706">Q339*FH339</f>
        <v>6636.93</v>
      </c>
      <c r="S339" s="114">
        <v>3220</v>
      </c>
      <c r="T339" s="114">
        <v>6858.5999999999995</v>
      </c>
      <c r="U339" s="131">
        <f t="shared" ref="U339:U343" si="3707">IFERROR(ROUNDUP(S339/$EX339,0)*$EY339,0)</f>
        <v>1</v>
      </c>
      <c r="V339" s="115">
        <f t="shared" ref="V339:V343" si="3708">SUM(Z339:AD339)</f>
        <v>2474</v>
      </c>
      <c r="W339" s="115">
        <f t="shared" ref="W339:W343" si="3709">V339*FH339</f>
        <v>4873.78</v>
      </c>
      <c r="X339" s="115">
        <f t="shared" ref="X339:X343" si="3710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711">AA339*FH339</f>
        <v>0</v>
      </c>
      <c r="AF339" s="95">
        <f t="shared" ref="AF339:AF343" si="3712">AB339*FH339</f>
        <v>0</v>
      </c>
      <c r="AG339" s="114">
        <v>0</v>
      </c>
      <c r="AH339" s="95">
        <f t="shared" ref="AH339:AH343" si="3713">V339-AG339</f>
        <v>2474</v>
      </c>
      <c r="AI339" s="114">
        <f t="shared" ref="AI339:AI343" si="3714">IF(AH339&gt;0,AH339*FH339,0)</f>
        <v>4873.78</v>
      </c>
      <c r="AJ339" s="114">
        <f t="shared" ref="AJ339:AJ343" si="3715">CU339</f>
        <v>2998</v>
      </c>
      <c r="AK339" s="114">
        <f t="shared" ref="AK339:AK343" si="3716">SUM(CS339:CU339)</f>
        <v>9631</v>
      </c>
      <c r="AL339" s="114">
        <f t="shared" ref="AL339:AL343" si="3717">SUM(CP339:CU339)</f>
        <v>15649</v>
      </c>
      <c r="AM339" s="114">
        <f t="shared" ref="AM339:AM343" si="3718">SUM(BK339:BP339)</f>
        <v>30978</v>
      </c>
      <c r="AN339" s="133">
        <f t="shared" ref="AN339:AN343" si="3719">IFERROR(S339/BQ339*30,"нет оборота")</f>
        <v>18.710052295177224</v>
      </c>
      <c r="AO339" s="133" t="str">
        <f t="shared" ref="AO339:AO343" si="3720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721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722">IF(AT339="Да",W339,0)</f>
        <v>0</v>
      </c>
      <c r="AX339" s="138"/>
      <c r="AY339" s="115">
        <f t="shared" ref="AY339:AY343" si="3723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724">BE339*FH339</f>
        <v>0</v>
      </c>
      <c r="BG339" s="32">
        <v>0</v>
      </c>
      <c r="BH339" s="32">
        <f t="shared" ref="BH339:BH343" si="3725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726">IF(COUNTIF(BK339:BP339,"&gt;0")=0,0,SUM(BK339:BP339)/COUNTIF(BK339:BP339,"&gt;0"))</f>
        <v>5163</v>
      </c>
      <c r="BR339" s="95">
        <f t="shared" ref="BR339:BR343" si="3727">IF(OR(Q339=0,SUM(BK339:BP339)=0,V339&gt;Q339),V339-BK339,Q339-BK339)</f>
        <v>740</v>
      </c>
      <c r="BS339" s="133">
        <f t="shared" si="3704"/>
        <v>-4549</v>
      </c>
      <c r="BT339" s="133">
        <f t="shared" si="3704"/>
        <v>-10176</v>
      </c>
      <c r="BU339" s="133">
        <f t="shared" si="3704"/>
        <v>-16860</v>
      </c>
      <c r="BV339" s="133">
        <f t="shared" si="3704"/>
        <v>-23372</v>
      </c>
      <c r="BW339" s="133">
        <f t="shared" si="3704"/>
        <v>-27609</v>
      </c>
      <c r="BX339" s="133">
        <f t="shared" ref="BX339:CO342" si="3728">BW339-$BQ339</f>
        <v>-32772</v>
      </c>
      <c r="BY339" s="133">
        <f t="shared" si="3728"/>
        <v>-37935</v>
      </c>
      <c r="BZ339" s="133">
        <f t="shared" si="3728"/>
        <v>-43098</v>
      </c>
      <c r="CA339" s="133">
        <f t="shared" si="3728"/>
        <v>-48261</v>
      </c>
      <c r="CB339" s="133">
        <f t="shared" si="3728"/>
        <v>-53424</v>
      </c>
      <c r="CC339" s="133">
        <f t="shared" si="3728"/>
        <v>-58587</v>
      </c>
      <c r="CD339" s="133">
        <f t="shared" si="3728"/>
        <v>-63750</v>
      </c>
      <c r="CE339" s="133">
        <f t="shared" si="3728"/>
        <v>-68913</v>
      </c>
      <c r="CF339" s="133">
        <f t="shared" si="3728"/>
        <v>-74076</v>
      </c>
      <c r="CG339" s="133">
        <f t="shared" si="3728"/>
        <v>-79239</v>
      </c>
      <c r="CH339" s="133">
        <f t="shared" si="3728"/>
        <v>-84402</v>
      </c>
      <c r="CI339" s="133">
        <f t="shared" si="3728"/>
        <v>-89565</v>
      </c>
      <c r="CJ339" s="133">
        <f t="shared" si="3728"/>
        <v>-94728</v>
      </c>
      <c r="CK339" s="133">
        <f t="shared" si="3728"/>
        <v>-99891</v>
      </c>
      <c r="CL339" s="133">
        <f t="shared" si="3728"/>
        <v>-105054</v>
      </c>
      <c r="CM339" s="133">
        <f t="shared" si="3728"/>
        <v>-110217</v>
      </c>
      <c r="CN339" s="133">
        <f t="shared" si="3728"/>
        <v>-115380</v>
      </c>
      <c r="CO339" s="133">
        <f t="shared" si="3728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729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730">IFERROR(CZ339/CY339,0)</f>
        <v>0</v>
      </c>
      <c r="DB339" s="4">
        <f t="shared" ref="DB339:DB344" si="3731">CY339*FH339</f>
        <v>0</v>
      </c>
      <c r="DC339" s="4">
        <f t="shared" ref="DC339:DC344" si="3732">CZ339*FH339</f>
        <v>0</v>
      </c>
      <c r="DD339" s="136">
        <f t="shared" ref="DD339:DD344" si="3733">IFERROR(DC339/DB339,0)</f>
        <v>0</v>
      </c>
      <c r="DE339" s="31">
        <v>0</v>
      </c>
      <c r="DG339" s="31">
        <v>0</v>
      </c>
      <c r="DH339" s="48">
        <f t="shared" ref="DH339:DH343" si="3734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735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36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37">IFERROR(ROUNDUP(DS339/$EX339,0)*$EY339,0)</f>
        <v>1</v>
      </c>
      <c r="DV339" s="62">
        <v>1780</v>
      </c>
      <c r="DW339" s="62">
        <v>3796.8745056497182</v>
      </c>
      <c r="DX339" s="62">
        <f t="shared" ref="DX339:DX343" si="3738">$DF339*BK339/30</f>
        <v>0</v>
      </c>
      <c r="DY339" s="62">
        <f t="shared" ref="DY339:DY343" si="3739">DX339*$FH339</f>
        <v>0</v>
      </c>
      <c r="DZ339" s="48">
        <f t="shared" ref="DZ339:DZ343" si="3740">IFERROR(ROUNDUP(DX339/$EX339,0)*$EY339,0)</f>
        <v>0</v>
      </c>
      <c r="EA339" s="62">
        <f t="shared" ref="EA339:EA343" si="3741">$DF339*BL339/30</f>
        <v>0</v>
      </c>
      <c r="EB339" s="62">
        <f t="shared" ref="EB339:EB343" si="3742">EA339*$FH339</f>
        <v>0</v>
      </c>
      <c r="EC339" s="48">
        <f t="shared" ref="EC339:EC343" si="3743">IFERROR(ROUNDUP(EA339/$EX339,0)*$EY339,0)</f>
        <v>0</v>
      </c>
      <c r="ED339" s="62">
        <f t="shared" ref="ED339:ED343" si="3744">$DF339*BM339/30</f>
        <v>0</v>
      </c>
      <c r="EE339" s="62">
        <f t="shared" ref="EE339:EE343" si="3745">ED339*$FH339</f>
        <v>0</v>
      </c>
      <c r="EF339" s="48">
        <f t="shared" ref="EF339:EF343" si="3746">IFERROR(ROUNDUP(ED339/$EX339,0)*$EY339,0)</f>
        <v>0</v>
      </c>
      <c r="EG339" s="62">
        <f t="shared" ref="EG339:EG343" si="3747">$DF339*BN339/30</f>
        <v>0</v>
      </c>
      <c r="EH339" s="62">
        <f t="shared" ref="EH339:EH343" si="3748">EG339*$FH339</f>
        <v>0</v>
      </c>
      <c r="EI339" s="48">
        <f t="shared" ref="EI339:EI343" si="3749">IFERROR(ROUNDUP(EG339/$EX339,0)*$EY339,0)</f>
        <v>0</v>
      </c>
      <c r="EJ339" s="62">
        <f t="shared" ref="EJ339:EJ343" si="3750">$DF339*BO339/30</f>
        <v>0</v>
      </c>
      <c r="EK339" s="62">
        <f t="shared" ref="EK339:EK343" si="3751">EJ339*$FH339</f>
        <v>0</v>
      </c>
      <c r="EL339" s="48">
        <f t="shared" ref="EL339:EL343" si="3752">IFERROR(ROUNDUP(EJ339/$EX339,0)*$EY339,0)</f>
        <v>0</v>
      </c>
      <c r="EM339" s="62">
        <f t="shared" ref="EM339:EM343" si="3753">$DF339*BP339/30</f>
        <v>0</v>
      </c>
      <c r="EN339" s="62">
        <f t="shared" ref="EN339:EN343" si="3754">EM339*$FH339</f>
        <v>0</v>
      </c>
      <c r="EO339" s="48">
        <f t="shared" ref="EO339:EO343" si="3755">IFERROR(ROUNDUP(EM339/$EX339,0)*$EY339,0)</f>
        <v>0</v>
      </c>
      <c r="EP339" s="62">
        <f t="shared" ref="EP339:ER343" si="3756">BK339*$FH339</f>
        <v>5179.13</v>
      </c>
      <c r="EQ339" s="62">
        <f t="shared" si="3756"/>
        <v>10419.33</v>
      </c>
      <c r="ER339" s="62">
        <f t="shared" si="3756"/>
        <v>11085.19</v>
      </c>
      <c r="ES339" s="62">
        <f t="shared" ref="ES339:EU343" si="3757">BN339*$FH339</f>
        <v>13167.48</v>
      </c>
      <c r="ET339" s="62">
        <f t="shared" si="3757"/>
        <v>12828.64</v>
      </c>
      <c r="EU339" s="62">
        <f t="shared" si="3757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58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 t="shared" si="3622"/>
        <v>1</v>
      </c>
      <c r="FS339" s="120" t="b">
        <f t="shared" si="3623"/>
        <v>1</v>
      </c>
      <c r="FT339" s="120" t="b">
        <f t="shared" si="3624"/>
        <v>1</v>
      </c>
      <c r="FU339" s="120" t="b">
        <f t="shared" si="3625"/>
        <v>1</v>
      </c>
      <c r="FV339" s="120" t="b">
        <f t="shared" si="3626"/>
        <v>1</v>
      </c>
      <c r="FW339" s="104" t="b">
        <f t="shared" si="3637"/>
        <v>0</v>
      </c>
      <c r="FX339" s="120" t="b">
        <f t="shared" ref="FX339:FX343" si="3759">EXACT(FQ339,BI339)</f>
        <v>1</v>
      </c>
      <c r="FY339" s="104" t="s">
        <v>368</v>
      </c>
      <c r="FZ339" s="104" t="b">
        <f t="shared" ref="FZ339:FZ343" si="3760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61">EXACT(GD339,C339)</f>
        <v>1</v>
      </c>
      <c r="GI339" s="8" t="b">
        <f t="shared" ref="GI339:GI343" si="3762">EXACT(GG339,G339)</f>
        <v>0</v>
      </c>
      <c r="GJ339" s="31" t="s">
        <v>203</v>
      </c>
    </row>
    <row r="340" spans="1:192" hidden="1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705"/>
        <v>нет минмакс</v>
      </c>
      <c r="Q340" s="95">
        <v>14000</v>
      </c>
      <c r="R340" s="95">
        <f t="shared" si="3706"/>
        <v>20720</v>
      </c>
      <c r="S340" s="114">
        <v>4000</v>
      </c>
      <c r="T340" s="114">
        <v>6600</v>
      </c>
      <c r="U340" s="131">
        <f t="shared" si="3707"/>
        <v>1</v>
      </c>
      <c r="V340" s="115">
        <f t="shared" si="3708"/>
        <v>14000</v>
      </c>
      <c r="W340" s="115">
        <f t="shared" si="3709"/>
        <v>20720</v>
      </c>
      <c r="X340" s="115">
        <f t="shared" si="3710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711"/>
        <v>0</v>
      </c>
      <c r="AF340" s="95">
        <f t="shared" si="3712"/>
        <v>0</v>
      </c>
      <c r="AG340" s="114">
        <v>0</v>
      </c>
      <c r="AH340" s="95">
        <f t="shared" si="3713"/>
        <v>14000</v>
      </c>
      <c r="AI340" s="114">
        <f t="shared" si="3714"/>
        <v>20720</v>
      </c>
      <c r="AJ340" s="114">
        <f t="shared" si="3715"/>
        <v>5000</v>
      </c>
      <c r="AK340" s="114">
        <f t="shared" si="3716"/>
        <v>11000</v>
      </c>
      <c r="AL340" s="114">
        <f t="shared" si="3717"/>
        <v>16000</v>
      </c>
      <c r="AM340" s="114">
        <f t="shared" si="3718"/>
        <v>27609</v>
      </c>
      <c r="AN340" s="133">
        <f t="shared" si="3719"/>
        <v>21.732043898728673</v>
      </c>
      <c r="AO340" s="133" t="str">
        <f t="shared" si="3720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721"/>
        <v>0-04</v>
      </c>
      <c r="AW340" s="126">
        <f t="shared" si="3722"/>
        <v>0</v>
      </c>
      <c r="AX340" s="138"/>
      <c r="AY340" s="115">
        <f t="shared" si="3723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724"/>
        <v>0</v>
      </c>
      <c r="BG340" s="32">
        <v>0</v>
      </c>
      <c r="BH340" s="32">
        <f t="shared" si="3725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726"/>
        <v>5521.8</v>
      </c>
      <c r="BR340" s="95">
        <f t="shared" si="3727"/>
        <v>14000</v>
      </c>
      <c r="BS340" s="133">
        <f t="shared" si="3704"/>
        <v>9451</v>
      </c>
      <c r="BT340" s="133">
        <f t="shared" si="3704"/>
        <v>3824</v>
      </c>
      <c r="BU340" s="133">
        <f t="shared" si="3704"/>
        <v>-2860</v>
      </c>
      <c r="BV340" s="133">
        <f t="shared" si="3704"/>
        <v>-9372</v>
      </c>
      <c r="BW340" s="133">
        <f t="shared" si="3704"/>
        <v>-13609</v>
      </c>
      <c r="BX340" s="133">
        <f t="shared" si="3728"/>
        <v>-19130.8</v>
      </c>
      <c r="BY340" s="133">
        <f t="shared" si="3728"/>
        <v>-24652.6</v>
      </c>
      <c r="BZ340" s="133">
        <f t="shared" si="3728"/>
        <v>-30174.399999999998</v>
      </c>
      <c r="CA340" s="133">
        <f t="shared" si="3728"/>
        <v>-35696.199999999997</v>
      </c>
      <c r="CB340" s="133">
        <f t="shared" si="3728"/>
        <v>-41218</v>
      </c>
      <c r="CC340" s="133">
        <f t="shared" si="3728"/>
        <v>-46739.8</v>
      </c>
      <c r="CD340" s="133">
        <f t="shared" si="3728"/>
        <v>-52261.600000000006</v>
      </c>
      <c r="CE340" s="133">
        <f t="shared" si="3728"/>
        <v>-57783.400000000009</v>
      </c>
      <c r="CF340" s="133">
        <f t="shared" si="3728"/>
        <v>-63305.200000000012</v>
      </c>
      <c r="CG340" s="133">
        <f t="shared" si="3728"/>
        <v>-68827.000000000015</v>
      </c>
      <c r="CH340" s="133">
        <f t="shared" si="3728"/>
        <v>-74348.800000000017</v>
      </c>
      <c r="CI340" s="133">
        <f t="shared" si="3728"/>
        <v>-79870.60000000002</v>
      </c>
      <c r="CJ340" s="133">
        <f t="shared" si="3728"/>
        <v>-85392.400000000023</v>
      </c>
      <c r="CK340" s="133">
        <f t="shared" si="3728"/>
        <v>-90914.200000000026</v>
      </c>
      <c r="CL340" s="133">
        <f t="shared" si="3728"/>
        <v>-96436.000000000029</v>
      </c>
      <c r="CM340" s="133">
        <f t="shared" si="3728"/>
        <v>-101957.80000000003</v>
      </c>
      <c r="CN340" s="133">
        <f t="shared" si="3728"/>
        <v>-107479.60000000003</v>
      </c>
      <c r="CO340" s="133">
        <f t="shared" si="3728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729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730"/>
        <v>0</v>
      </c>
      <c r="DB340" s="4">
        <f t="shared" si="3731"/>
        <v>0</v>
      </c>
      <c r="DC340" s="4">
        <f t="shared" si="3732"/>
        <v>0</v>
      </c>
      <c r="DD340" s="136">
        <f t="shared" si="3733"/>
        <v>0</v>
      </c>
      <c r="DE340" s="31">
        <v>0</v>
      </c>
      <c r="DG340" s="31">
        <v>0</v>
      </c>
      <c r="DH340" s="48">
        <f t="shared" si="3734"/>
        <v>0</v>
      </c>
      <c r="DI340" s="62">
        <v>6096.7740000000003</v>
      </c>
      <c r="DJ340" s="62">
        <v>10041.997000000001</v>
      </c>
      <c r="DK340" s="48">
        <f t="shared" si="3735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36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37"/>
        <v>1</v>
      </c>
      <c r="DV340" s="62">
        <v>3000</v>
      </c>
      <c r="DW340" s="62">
        <v>4941.3</v>
      </c>
      <c r="DX340" s="62">
        <f t="shared" si="3738"/>
        <v>0</v>
      </c>
      <c r="DY340" s="62">
        <f t="shared" si="3739"/>
        <v>0</v>
      </c>
      <c r="DZ340" s="48">
        <f t="shared" si="3740"/>
        <v>0</v>
      </c>
      <c r="EA340" s="62">
        <f t="shared" si="3741"/>
        <v>0</v>
      </c>
      <c r="EB340" s="62">
        <f t="shared" si="3742"/>
        <v>0</v>
      </c>
      <c r="EC340" s="48">
        <f t="shared" si="3743"/>
        <v>0</v>
      </c>
      <c r="ED340" s="62">
        <f t="shared" si="3744"/>
        <v>0</v>
      </c>
      <c r="EE340" s="62">
        <f t="shared" si="3745"/>
        <v>0</v>
      </c>
      <c r="EF340" s="48">
        <f t="shared" si="3746"/>
        <v>0</v>
      </c>
      <c r="EG340" s="62">
        <f t="shared" si="3747"/>
        <v>0</v>
      </c>
      <c r="EH340" s="62">
        <f t="shared" si="3748"/>
        <v>0</v>
      </c>
      <c r="EI340" s="48">
        <f t="shared" si="3749"/>
        <v>0</v>
      </c>
      <c r="EJ340" s="62">
        <f t="shared" si="3750"/>
        <v>0</v>
      </c>
      <c r="EK340" s="62">
        <f t="shared" si="3751"/>
        <v>0</v>
      </c>
      <c r="EL340" s="48">
        <f t="shared" si="3752"/>
        <v>0</v>
      </c>
      <c r="EM340" s="62">
        <f t="shared" si="3753"/>
        <v>0</v>
      </c>
      <c r="EN340" s="62">
        <f t="shared" si="3754"/>
        <v>0</v>
      </c>
      <c r="EO340" s="48">
        <f t="shared" si="3755"/>
        <v>0</v>
      </c>
      <c r="EP340" s="62">
        <f t="shared" si="3756"/>
        <v>0</v>
      </c>
      <c r="EQ340" s="62">
        <f t="shared" si="3756"/>
        <v>6732.5199999999995</v>
      </c>
      <c r="ER340" s="62">
        <f t="shared" si="3756"/>
        <v>8327.9599999999991</v>
      </c>
      <c r="ES340" s="62">
        <f t="shared" si="3757"/>
        <v>9892.32</v>
      </c>
      <c r="ET340" s="62">
        <f t="shared" si="3757"/>
        <v>9637.76</v>
      </c>
      <c r="EU340" s="62">
        <f t="shared" si="3757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58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 t="shared" si="3622"/>
        <v>1</v>
      </c>
      <c r="FS340" s="120" t="b">
        <f t="shared" si="3623"/>
        <v>1</v>
      </c>
      <c r="FT340" s="120" t="b">
        <f t="shared" si="3624"/>
        <v>1</v>
      </c>
      <c r="FU340" s="120" t="b">
        <f t="shared" si="3625"/>
        <v>1</v>
      </c>
      <c r="FV340" s="120" t="b">
        <f t="shared" si="3626"/>
        <v>1</v>
      </c>
      <c r="FW340" s="104" t="b">
        <f t="shared" si="3637"/>
        <v>0</v>
      </c>
      <c r="FX340" s="120" t="b">
        <f t="shared" si="3759"/>
        <v>1</v>
      </c>
      <c r="FY340" s="104" t="s">
        <v>368</v>
      </c>
      <c r="FZ340" s="104" t="b">
        <f t="shared" si="3760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61"/>
        <v>1</v>
      </c>
      <c r="GI340" s="8" t="b">
        <f t="shared" si="3762"/>
        <v>0</v>
      </c>
      <c r="GJ340" s="31" t="s">
        <v>203</v>
      </c>
    </row>
    <row r="341" spans="1:192" hidden="1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705"/>
        <v>нет минмакс</v>
      </c>
      <c r="Q341" s="95">
        <v>36549</v>
      </c>
      <c r="R341" s="95">
        <f t="shared" si="3706"/>
        <v>70539.569999999992</v>
      </c>
      <c r="S341" s="114">
        <v>3008</v>
      </c>
      <c r="T341" s="114">
        <v>6136.32</v>
      </c>
      <c r="U341" s="131">
        <f t="shared" si="3707"/>
        <v>1</v>
      </c>
      <c r="V341" s="115">
        <f t="shared" si="3708"/>
        <v>35820</v>
      </c>
      <c r="W341" s="115">
        <f t="shared" si="3709"/>
        <v>69132.599999999991</v>
      </c>
      <c r="X341" s="115">
        <f t="shared" si="3710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711"/>
        <v>0</v>
      </c>
      <c r="AF341" s="95">
        <f t="shared" si="3712"/>
        <v>0</v>
      </c>
      <c r="AG341" s="114">
        <v>0</v>
      </c>
      <c r="AH341" s="95">
        <f t="shared" si="3713"/>
        <v>35820</v>
      </c>
      <c r="AI341" s="114">
        <f t="shared" si="3714"/>
        <v>69132.599999999991</v>
      </c>
      <c r="AJ341" s="114">
        <f t="shared" si="3715"/>
        <v>77404</v>
      </c>
      <c r="AK341" s="114">
        <f t="shared" si="3716"/>
        <v>157355</v>
      </c>
      <c r="AL341" s="114">
        <f t="shared" si="3717"/>
        <v>221078</v>
      </c>
      <c r="AM341" s="114">
        <f t="shared" si="3718"/>
        <v>281043</v>
      </c>
      <c r="AN341" s="133">
        <f t="shared" si="3719"/>
        <v>1.9265379319178915</v>
      </c>
      <c r="AO341" s="133" t="str">
        <f t="shared" si="3720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721"/>
        <v>0-01</v>
      </c>
      <c r="AW341" s="126">
        <f t="shared" si="3722"/>
        <v>0</v>
      </c>
      <c r="AX341" s="138"/>
      <c r="AY341" s="115">
        <f t="shared" si="3723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724"/>
        <v>0</v>
      </c>
      <c r="BG341" s="32">
        <v>0</v>
      </c>
      <c r="BH341" s="32">
        <f t="shared" si="3725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726"/>
        <v>46840.5</v>
      </c>
      <c r="BR341" s="95">
        <f t="shared" si="3727"/>
        <v>-21647</v>
      </c>
      <c r="BS341" s="133">
        <f t="shared" si="3704"/>
        <v>-59996</v>
      </c>
      <c r="BT341" s="133">
        <f t="shared" si="3704"/>
        <v>-108675</v>
      </c>
      <c r="BU341" s="133">
        <f t="shared" si="3704"/>
        <v>-164348</v>
      </c>
      <c r="BV341" s="133">
        <f t="shared" si="3704"/>
        <v>-212157</v>
      </c>
      <c r="BW341" s="133">
        <f t="shared" si="3704"/>
        <v>-244494</v>
      </c>
      <c r="BX341" s="133">
        <f t="shared" si="3728"/>
        <v>-291334.5</v>
      </c>
      <c r="BY341" s="133">
        <f t="shared" si="3728"/>
        <v>-338175</v>
      </c>
      <c r="BZ341" s="133">
        <f t="shared" si="3728"/>
        <v>-385015.5</v>
      </c>
      <c r="CA341" s="133">
        <f t="shared" si="3728"/>
        <v>-431856</v>
      </c>
      <c r="CB341" s="133">
        <f t="shared" si="3728"/>
        <v>-478696.5</v>
      </c>
      <c r="CC341" s="133">
        <f t="shared" si="3728"/>
        <v>-525537</v>
      </c>
      <c r="CD341" s="133">
        <f t="shared" si="3728"/>
        <v>-572377.5</v>
      </c>
      <c r="CE341" s="133">
        <f t="shared" si="3728"/>
        <v>-619218</v>
      </c>
      <c r="CF341" s="133">
        <f t="shared" si="3728"/>
        <v>-666058.5</v>
      </c>
      <c r="CG341" s="133">
        <f t="shared" si="3728"/>
        <v>-712899</v>
      </c>
      <c r="CH341" s="133">
        <f t="shared" si="3728"/>
        <v>-759739.5</v>
      </c>
      <c r="CI341" s="133">
        <f t="shared" si="3728"/>
        <v>-806580</v>
      </c>
      <c r="CJ341" s="133">
        <f t="shared" si="3728"/>
        <v>-853420.5</v>
      </c>
      <c r="CK341" s="133">
        <f t="shared" si="3728"/>
        <v>-900261</v>
      </c>
      <c r="CL341" s="133">
        <f t="shared" si="3728"/>
        <v>-947101.5</v>
      </c>
      <c r="CM341" s="133">
        <f t="shared" si="3728"/>
        <v>-993942</v>
      </c>
      <c r="CN341" s="133">
        <f t="shared" si="3728"/>
        <v>-1040782.5</v>
      </c>
      <c r="CO341" s="133">
        <f t="shared" si="3728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729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730"/>
        <v>0</v>
      </c>
      <c r="DB341" s="4">
        <f t="shared" si="3731"/>
        <v>0</v>
      </c>
      <c r="DC341" s="4">
        <f t="shared" si="3732"/>
        <v>0</v>
      </c>
      <c r="DD341" s="136">
        <f t="shared" si="3733"/>
        <v>0</v>
      </c>
      <c r="DE341" s="31">
        <v>0</v>
      </c>
      <c r="DG341" s="31">
        <v>0</v>
      </c>
      <c r="DH341" s="48">
        <f t="shared" si="3734"/>
        <v>0</v>
      </c>
      <c r="DI341" s="62">
        <v>15166.773999999999</v>
      </c>
      <c r="DJ341" s="62">
        <v>31426.292999999998</v>
      </c>
      <c r="DK341" s="48">
        <f t="shared" si="3735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36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37"/>
        <v>1</v>
      </c>
      <c r="DV341" s="62">
        <v>26916</v>
      </c>
      <c r="DW341" s="62">
        <v>56786.497803012302</v>
      </c>
      <c r="DX341" s="62">
        <f t="shared" si="3738"/>
        <v>0</v>
      </c>
      <c r="DY341" s="62">
        <f t="shared" si="3739"/>
        <v>0</v>
      </c>
      <c r="DZ341" s="48">
        <f t="shared" si="3740"/>
        <v>0</v>
      </c>
      <c r="EA341" s="62">
        <f t="shared" si="3741"/>
        <v>0</v>
      </c>
      <c r="EB341" s="62">
        <f t="shared" si="3742"/>
        <v>0</v>
      </c>
      <c r="EC341" s="48">
        <f t="shared" si="3743"/>
        <v>0</v>
      </c>
      <c r="ED341" s="62">
        <f t="shared" si="3744"/>
        <v>0</v>
      </c>
      <c r="EE341" s="62">
        <f t="shared" si="3745"/>
        <v>0</v>
      </c>
      <c r="EF341" s="48">
        <f t="shared" si="3746"/>
        <v>0</v>
      </c>
      <c r="EG341" s="62">
        <f t="shared" si="3747"/>
        <v>0</v>
      </c>
      <c r="EH341" s="62">
        <f t="shared" si="3748"/>
        <v>0</v>
      </c>
      <c r="EI341" s="48">
        <f t="shared" si="3749"/>
        <v>0</v>
      </c>
      <c r="EJ341" s="62">
        <f t="shared" si="3750"/>
        <v>0</v>
      </c>
      <c r="EK341" s="62">
        <f t="shared" si="3751"/>
        <v>0</v>
      </c>
      <c r="EL341" s="48">
        <f t="shared" si="3752"/>
        <v>0</v>
      </c>
      <c r="EM341" s="62">
        <f t="shared" si="3753"/>
        <v>0</v>
      </c>
      <c r="EN341" s="62">
        <f t="shared" si="3754"/>
        <v>0</v>
      </c>
      <c r="EO341" s="48">
        <f t="shared" si="3755"/>
        <v>0</v>
      </c>
      <c r="EP341" s="62">
        <f t="shared" si="3756"/>
        <v>112318.28</v>
      </c>
      <c r="EQ341" s="62">
        <f t="shared" si="3756"/>
        <v>74013.569999999992</v>
      </c>
      <c r="ER341" s="62">
        <f t="shared" si="3756"/>
        <v>93950.47</v>
      </c>
      <c r="ES341" s="62">
        <f t="shared" si="3757"/>
        <v>107448.89</v>
      </c>
      <c r="ET341" s="62">
        <f t="shared" si="3757"/>
        <v>92271.37</v>
      </c>
      <c r="EU341" s="62">
        <f t="shared" si="3757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58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 t="shared" si="3622"/>
        <v>1</v>
      </c>
      <c r="FS341" s="120" t="b">
        <f t="shared" si="3623"/>
        <v>1</v>
      </c>
      <c r="FT341" s="120" t="b">
        <f t="shared" si="3624"/>
        <v>1</v>
      </c>
      <c r="FU341" s="120" t="b">
        <f t="shared" si="3625"/>
        <v>1</v>
      </c>
      <c r="FV341" s="120" t="b">
        <f t="shared" si="3626"/>
        <v>1</v>
      </c>
      <c r="FW341" s="104" t="b">
        <f t="shared" si="3637"/>
        <v>0</v>
      </c>
      <c r="FX341" s="120" t="b">
        <f t="shared" si="3759"/>
        <v>1</v>
      </c>
      <c r="FY341" s="104" t="s">
        <v>368</v>
      </c>
      <c r="FZ341" s="104" t="b">
        <f t="shared" si="3760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61"/>
        <v>1</v>
      </c>
      <c r="GI341" s="8" t="b">
        <f t="shared" si="3762"/>
        <v>0</v>
      </c>
      <c r="GJ341" s="31" t="s">
        <v>203</v>
      </c>
    </row>
    <row r="342" spans="1:192" hidden="1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705"/>
        <v>нет минмакс</v>
      </c>
      <c r="Q342" s="95">
        <v>6224</v>
      </c>
      <c r="R342" s="95">
        <f t="shared" si="3706"/>
        <v>12385.76</v>
      </c>
      <c r="S342" s="114">
        <v>3067</v>
      </c>
      <c r="T342" s="114">
        <v>6318.02</v>
      </c>
      <c r="U342" s="131">
        <f t="shared" si="3707"/>
        <v>1</v>
      </c>
      <c r="V342" s="115">
        <f t="shared" si="3708"/>
        <v>2432</v>
      </c>
      <c r="W342" s="115">
        <f t="shared" si="3709"/>
        <v>4839.68</v>
      </c>
      <c r="X342" s="115">
        <f t="shared" si="3710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711"/>
        <v>0</v>
      </c>
      <c r="AF342" s="95">
        <f t="shared" si="3712"/>
        <v>0</v>
      </c>
      <c r="AG342" s="114">
        <v>0</v>
      </c>
      <c r="AH342" s="95">
        <f t="shared" si="3713"/>
        <v>2432</v>
      </c>
      <c r="AI342" s="114">
        <f t="shared" si="3714"/>
        <v>4839.68</v>
      </c>
      <c r="AJ342" s="114">
        <f t="shared" si="3715"/>
        <v>1793</v>
      </c>
      <c r="AK342" s="114">
        <f t="shared" si="3716"/>
        <v>5946</v>
      </c>
      <c r="AL342" s="114">
        <f t="shared" si="3717"/>
        <v>11898</v>
      </c>
      <c r="AM342" s="114">
        <f t="shared" si="3718"/>
        <v>13432</v>
      </c>
      <c r="AN342" s="133">
        <f t="shared" si="3719"/>
        <v>41.100357355568789</v>
      </c>
      <c r="AO342" s="133" t="str">
        <f t="shared" si="3720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721"/>
        <v>0-03</v>
      </c>
      <c r="AW342" s="126">
        <f t="shared" si="3722"/>
        <v>0</v>
      </c>
      <c r="AX342" s="138"/>
      <c r="AY342" s="115">
        <f t="shared" si="3723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724"/>
        <v>0</v>
      </c>
      <c r="BG342" s="32">
        <v>0</v>
      </c>
      <c r="BH342" s="32">
        <f t="shared" si="3725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726"/>
        <v>2238.6666666666665</v>
      </c>
      <c r="BR342" s="95">
        <f t="shared" si="3727"/>
        <v>4151</v>
      </c>
      <c r="BS342" s="133">
        <f t="shared" si="3704"/>
        <v>1656</v>
      </c>
      <c r="BT342" s="133">
        <f t="shared" si="3704"/>
        <v>-765</v>
      </c>
      <c r="BU342" s="133">
        <f t="shared" si="3704"/>
        <v>-2933</v>
      </c>
      <c r="BV342" s="133">
        <f t="shared" si="3704"/>
        <v>-4940</v>
      </c>
      <c r="BW342" s="133">
        <f t="shared" si="3704"/>
        <v>-7208</v>
      </c>
      <c r="BX342" s="133">
        <f t="shared" si="3728"/>
        <v>-9446.6666666666661</v>
      </c>
      <c r="BY342" s="133">
        <f t="shared" si="3728"/>
        <v>-11685.333333333332</v>
      </c>
      <c r="BZ342" s="133">
        <f t="shared" si="3728"/>
        <v>-13923.999999999998</v>
      </c>
      <c r="CA342" s="133">
        <f t="shared" si="3728"/>
        <v>-16162.666666666664</v>
      </c>
      <c r="CB342" s="133">
        <f t="shared" si="3728"/>
        <v>-18401.333333333332</v>
      </c>
      <c r="CC342" s="133">
        <f t="shared" si="3728"/>
        <v>-20640</v>
      </c>
      <c r="CD342" s="133">
        <f t="shared" si="3728"/>
        <v>-22878.666666666668</v>
      </c>
      <c r="CE342" s="133">
        <f t="shared" si="3728"/>
        <v>-25117.333333333336</v>
      </c>
      <c r="CF342" s="133">
        <f t="shared" si="3728"/>
        <v>-27356.000000000004</v>
      </c>
      <c r="CG342" s="133">
        <f t="shared" si="3728"/>
        <v>-29594.666666666672</v>
      </c>
      <c r="CH342" s="133">
        <f t="shared" si="3728"/>
        <v>-31833.333333333339</v>
      </c>
      <c r="CI342" s="133">
        <f t="shared" si="3728"/>
        <v>-34072.000000000007</v>
      </c>
      <c r="CJ342" s="133">
        <f t="shared" si="3728"/>
        <v>-36310.666666666672</v>
      </c>
      <c r="CK342" s="133">
        <f t="shared" si="3728"/>
        <v>-38549.333333333336</v>
      </c>
      <c r="CL342" s="133">
        <f t="shared" si="3728"/>
        <v>-40788</v>
      </c>
      <c r="CM342" s="133">
        <f t="shared" si="3728"/>
        <v>-43026.666666666664</v>
      </c>
      <c r="CN342" s="133">
        <f t="shared" si="3728"/>
        <v>-45265.333333333328</v>
      </c>
      <c r="CO342" s="133">
        <f t="shared" si="3728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729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730"/>
        <v>0</v>
      </c>
      <c r="DB342" s="4">
        <f t="shared" si="3731"/>
        <v>0</v>
      </c>
      <c r="DC342" s="4">
        <f t="shared" si="3732"/>
        <v>0</v>
      </c>
      <c r="DD342" s="136">
        <f t="shared" si="3733"/>
        <v>0</v>
      </c>
      <c r="DE342" s="31">
        <v>0</v>
      </c>
      <c r="DG342" s="31">
        <v>0</v>
      </c>
      <c r="DH342" s="48">
        <f t="shared" si="3734"/>
        <v>0</v>
      </c>
      <c r="DI342" s="62">
        <v>5993.5159999999996</v>
      </c>
      <c r="DJ342" s="62">
        <v>12206.134999999998</v>
      </c>
      <c r="DK342" s="48">
        <f t="shared" si="3735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36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37"/>
        <v>1</v>
      </c>
      <c r="DV342" s="62">
        <v>4153</v>
      </c>
      <c r="DW342" s="62">
        <v>8458.6137107065952</v>
      </c>
      <c r="DX342" s="62">
        <f t="shared" si="3738"/>
        <v>0</v>
      </c>
      <c r="DY342" s="62">
        <f t="shared" si="3739"/>
        <v>0</v>
      </c>
      <c r="DZ342" s="48">
        <f t="shared" si="3740"/>
        <v>0</v>
      </c>
      <c r="EA342" s="62">
        <f t="shared" si="3741"/>
        <v>0</v>
      </c>
      <c r="EB342" s="62">
        <f t="shared" si="3742"/>
        <v>0</v>
      </c>
      <c r="EC342" s="48">
        <f t="shared" si="3743"/>
        <v>0</v>
      </c>
      <c r="ED342" s="62">
        <f t="shared" si="3744"/>
        <v>0</v>
      </c>
      <c r="EE342" s="62">
        <f t="shared" si="3745"/>
        <v>0</v>
      </c>
      <c r="EF342" s="48">
        <f t="shared" si="3746"/>
        <v>0</v>
      </c>
      <c r="EG342" s="62">
        <f t="shared" si="3747"/>
        <v>0</v>
      </c>
      <c r="EH342" s="62">
        <f t="shared" si="3748"/>
        <v>0</v>
      </c>
      <c r="EI342" s="48">
        <f t="shared" si="3749"/>
        <v>0</v>
      </c>
      <c r="EJ342" s="62">
        <f t="shared" si="3750"/>
        <v>0</v>
      </c>
      <c r="EK342" s="62">
        <f t="shared" si="3751"/>
        <v>0</v>
      </c>
      <c r="EL342" s="48">
        <f t="shared" si="3752"/>
        <v>0</v>
      </c>
      <c r="EM342" s="62">
        <f t="shared" si="3753"/>
        <v>0</v>
      </c>
      <c r="EN342" s="62">
        <f t="shared" si="3754"/>
        <v>0</v>
      </c>
      <c r="EO342" s="48">
        <f t="shared" si="3755"/>
        <v>0</v>
      </c>
      <c r="EP342" s="62">
        <f t="shared" si="3756"/>
        <v>4125.2700000000004</v>
      </c>
      <c r="EQ342" s="62">
        <f t="shared" si="3756"/>
        <v>4965.05</v>
      </c>
      <c r="ER342" s="62">
        <f t="shared" si="3756"/>
        <v>4817.79</v>
      </c>
      <c r="ES342" s="62">
        <f t="shared" si="3757"/>
        <v>4314.32</v>
      </c>
      <c r="ET342" s="62">
        <f t="shared" si="3757"/>
        <v>3993.93</v>
      </c>
      <c r="EU342" s="62">
        <f t="shared" si="3757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58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 t="shared" si="3622"/>
        <v>1</v>
      </c>
      <c r="FS342" s="120" t="b">
        <f t="shared" si="3623"/>
        <v>1</v>
      </c>
      <c r="FT342" s="120" t="b">
        <f t="shared" si="3624"/>
        <v>1</v>
      </c>
      <c r="FU342" s="120" t="b">
        <f t="shared" si="3625"/>
        <v>1</v>
      </c>
      <c r="FV342" s="120" t="b">
        <f t="shared" si="3626"/>
        <v>1</v>
      </c>
      <c r="FW342" s="104" t="b">
        <f t="shared" si="3637"/>
        <v>0</v>
      </c>
      <c r="FX342" s="120" t="b">
        <f t="shared" si="3759"/>
        <v>1</v>
      </c>
      <c r="FY342" s="104" t="s">
        <v>368</v>
      </c>
      <c r="FZ342" s="104" t="b">
        <f t="shared" si="3760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61"/>
        <v>1</v>
      </c>
      <c r="GI342" s="8" t="b">
        <f t="shared" si="3762"/>
        <v>0</v>
      </c>
      <c r="GJ342" s="31" t="s">
        <v>203</v>
      </c>
    </row>
    <row r="343" spans="1:192" hidden="1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705"/>
        <v>нет минмакс</v>
      </c>
      <c r="Q343" s="95">
        <v>0</v>
      </c>
      <c r="R343" s="95">
        <f t="shared" si="3706"/>
        <v>0</v>
      </c>
      <c r="S343" s="114">
        <v>38.881000518798828</v>
      </c>
      <c r="T343" s="114">
        <v>6133.0890218353279</v>
      </c>
      <c r="U343" s="131">
        <f t="shared" si="3707"/>
        <v>0</v>
      </c>
      <c r="V343" s="115">
        <f t="shared" si="3708"/>
        <v>0</v>
      </c>
      <c r="W343" s="115">
        <f t="shared" si="3709"/>
        <v>0</v>
      </c>
      <c r="X343" s="115">
        <f t="shared" si="3710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711"/>
        <v>0</v>
      </c>
      <c r="AF343" s="95">
        <f t="shared" si="3712"/>
        <v>0</v>
      </c>
      <c r="AG343" s="114">
        <v>0</v>
      </c>
      <c r="AH343" s="95">
        <f t="shared" si="3713"/>
        <v>0</v>
      </c>
      <c r="AI343" s="114">
        <f t="shared" si="3714"/>
        <v>0</v>
      </c>
      <c r="AJ343" s="114">
        <f t="shared" si="3715"/>
        <v>66716</v>
      </c>
      <c r="AK343" s="114">
        <f t="shared" si="3716"/>
        <v>109229</v>
      </c>
      <c r="AL343" s="114">
        <f t="shared" si="3717"/>
        <v>174710</v>
      </c>
      <c r="AM343" s="114">
        <f t="shared" si="3718"/>
        <v>254767.01</v>
      </c>
      <c r="AN343" s="133">
        <f t="shared" si="3719"/>
        <v>2.7470511560283212E-2</v>
      </c>
      <c r="AO343" s="133" t="str">
        <f t="shared" si="3720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721"/>
        <v>нет остатка</v>
      </c>
      <c r="AW343" s="126">
        <f t="shared" si="3722"/>
        <v>0</v>
      </c>
      <c r="AX343" s="138"/>
      <c r="AY343" s="115">
        <f t="shared" si="3723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724"/>
        <v>0</v>
      </c>
      <c r="BG343" s="32">
        <v>0</v>
      </c>
      <c r="BH343" s="32">
        <f t="shared" si="3725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726"/>
        <v>42461.168333333335</v>
      </c>
      <c r="BR343" s="95">
        <f t="shared" si="3727"/>
        <v>-40749.519999999997</v>
      </c>
      <c r="BS343" s="133">
        <f t="shared" ref="BS343:BW344" si="3763">BR343-BL343</f>
        <v>-79941.23</v>
      </c>
      <c r="BT343" s="133">
        <f t="shared" si="3763"/>
        <v>-123470.34</v>
      </c>
      <c r="BU343" s="133">
        <f t="shared" si="3763"/>
        <v>-166346.76999999999</v>
      </c>
      <c r="BV343" s="133">
        <f t="shared" si="3763"/>
        <v>-212442.43</v>
      </c>
      <c r="BW343" s="133">
        <f t="shared" si="3763"/>
        <v>-254767.01</v>
      </c>
      <c r="BX343" s="133">
        <f t="shared" ref="BX343:CO343" si="3764">BW343-$BQ343</f>
        <v>-297228.17833333334</v>
      </c>
      <c r="BY343" s="133">
        <f t="shared" si="3764"/>
        <v>-339689.34666666668</v>
      </c>
      <c r="BZ343" s="133">
        <f t="shared" si="3764"/>
        <v>-382150.51500000001</v>
      </c>
      <c r="CA343" s="133">
        <f t="shared" si="3764"/>
        <v>-424611.68333333335</v>
      </c>
      <c r="CB343" s="133">
        <f t="shared" si="3764"/>
        <v>-467072.85166666668</v>
      </c>
      <c r="CC343" s="133">
        <f t="shared" si="3764"/>
        <v>-509534.02</v>
      </c>
      <c r="CD343" s="133">
        <f t="shared" si="3764"/>
        <v>-551995.18833333335</v>
      </c>
      <c r="CE343" s="133">
        <f t="shared" si="3764"/>
        <v>-594456.35666666669</v>
      </c>
      <c r="CF343" s="133">
        <f t="shared" si="3764"/>
        <v>-636917.52500000002</v>
      </c>
      <c r="CG343" s="133">
        <f t="shared" si="3764"/>
        <v>-679378.69333333336</v>
      </c>
      <c r="CH343" s="133">
        <f t="shared" si="3764"/>
        <v>-721839.86166666669</v>
      </c>
      <c r="CI343" s="133">
        <f t="shared" si="3764"/>
        <v>-764301.03</v>
      </c>
      <c r="CJ343" s="133">
        <f t="shared" si="3764"/>
        <v>-806762.19833333336</v>
      </c>
      <c r="CK343" s="133">
        <f t="shared" si="3764"/>
        <v>-849223.3666666667</v>
      </c>
      <c r="CL343" s="133">
        <f t="shared" si="3764"/>
        <v>-891684.53500000003</v>
      </c>
      <c r="CM343" s="133">
        <f t="shared" si="3764"/>
        <v>-934145.70333333337</v>
      </c>
      <c r="CN343" s="133">
        <f t="shared" si="3764"/>
        <v>-976606.8716666667</v>
      </c>
      <c r="CO343" s="133">
        <f t="shared" si="3764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729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730"/>
        <v>0</v>
      </c>
      <c r="DB343" s="4">
        <f t="shared" si="3731"/>
        <v>0</v>
      </c>
      <c r="DC343" s="4">
        <f t="shared" si="3732"/>
        <v>0</v>
      </c>
      <c r="DD343" s="136">
        <f t="shared" si="3733"/>
        <v>0</v>
      </c>
      <c r="DE343" s="31">
        <v>0</v>
      </c>
      <c r="DG343" s="31">
        <v>0</v>
      </c>
      <c r="DH343" s="48">
        <f t="shared" si="3734"/>
        <v>0</v>
      </c>
      <c r="DI343" s="62">
        <v>0.72899999999999998</v>
      </c>
      <c r="DJ343" s="62">
        <v>125.316</v>
      </c>
      <c r="DK343" s="48">
        <f t="shared" si="3735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36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37"/>
        <v>0</v>
      </c>
      <c r="DV343" s="62">
        <v>13760.964000000002</v>
      </c>
      <c r="DW343" s="62">
        <v>2168156.9164516903</v>
      </c>
      <c r="DX343" s="62">
        <f t="shared" si="3738"/>
        <v>0</v>
      </c>
      <c r="DY343" s="62">
        <f t="shared" si="3739"/>
        <v>0</v>
      </c>
      <c r="DZ343" s="48">
        <f t="shared" si="3740"/>
        <v>0</v>
      </c>
      <c r="EA343" s="62">
        <f t="shared" si="3741"/>
        <v>0</v>
      </c>
      <c r="EB343" s="62">
        <f t="shared" si="3742"/>
        <v>0</v>
      </c>
      <c r="EC343" s="48">
        <f t="shared" si="3743"/>
        <v>0</v>
      </c>
      <c r="ED343" s="62">
        <f t="shared" si="3744"/>
        <v>0</v>
      </c>
      <c r="EE343" s="62">
        <f t="shared" si="3745"/>
        <v>0</v>
      </c>
      <c r="EF343" s="48">
        <f t="shared" si="3746"/>
        <v>0</v>
      </c>
      <c r="EG343" s="62">
        <f t="shared" si="3747"/>
        <v>0</v>
      </c>
      <c r="EH343" s="62">
        <f t="shared" si="3748"/>
        <v>0</v>
      </c>
      <c r="EI343" s="48">
        <f t="shared" si="3749"/>
        <v>0</v>
      </c>
      <c r="EJ343" s="62">
        <f t="shared" si="3750"/>
        <v>0</v>
      </c>
      <c r="EK343" s="62">
        <f t="shared" si="3751"/>
        <v>0</v>
      </c>
      <c r="EL343" s="48">
        <f t="shared" si="3752"/>
        <v>0</v>
      </c>
      <c r="EM343" s="62">
        <f t="shared" si="3753"/>
        <v>0</v>
      </c>
      <c r="EN343" s="62">
        <f t="shared" si="3754"/>
        <v>0</v>
      </c>
      <c r="EO343" s="48">
        <f t="shared" si="3755"/>
        <v>0</v>
      </c>
      <c r="EP343" s="62">
        <f t="shared" si="3756"/>
        <v>5697190.3911999995</v>
      </c>
      <c r="EQ343" s="62">
        <f t="shared" si="3756"/>
        <v>5479392.9751000004</v>
      </c>
      <c r="ER343" s="62">
        <f t="shared" si="3756"/>
        <v>6085804.8690999998</v>
      </c>
      <c r="ES343" s="62">
        <f t="shared" si="3757"/>
        <v>5994553.6782999998</v>
      </c>
      <c r="ET343" s="62">
        <f t="shared" si="3757"/>
        <v>6444634.2246000003</v>
      </c>
      <c r="EU343" s="62">
        <f t="shared" si="3757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58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 t="shared" si="3622"/>
        <v>1</v>
      </c>
      <c r="FS343" s="120" t="b">
        <f t="shared" si="3623"/>
        <v>1</v>
      </c>
      <c r="FT343" s="120" t="b">
        <f t="shared" si="3624"/>
        <v>1</v>
      </c>
      <c r="FU343" s="120" t="b">
        <f t="shared" si="3625"/>
        <v>1</v>
      </c>
      <c r="FV343" s="120" t="b">
        <f t="shared" si="3626"/>
        <v>1</v>
      </c>
      <c r="FW343" s="104" t="b">
        <f t="shared" si="3637"/>
        <v>0</v>
      </c>
      <c r="FX343" s="120" t="b">
        <f t="shared" si="3759"/>
        <v>1</v>
      </c>
      <c r="FY343" s="104" t="s">
        <v>368</v>
      </c>
      <c r="FZ343" s="104" t="b">
        <f t="shared" si="3760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61"/>
        <v>1</v>
      </c>
      <c r="GI343" s="8" t="b">
        <f t="shared" si="3762"/>
        <v>0</v>
      </c>
      <c r="GJ343" s="31" t="s">
        <v>203</v>
      </c>
    </row>
    <row r="344" spans="1:192" hidden="1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65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66">Q344*FH344</f>
        <v>27360</v>
      </c>
      <c r="S344" s="114">
        <v>6000</v>
      </c>
      <c r="T344" s="114">
        <v>4680</v>
      </c>
      <c r="U344" s="131">
        <f t="shared" ref="U344:U348" si="3767">IFERROR(ROUNDUP(S344/$EX344,0)*$EY344,0)</f>
        <v>1</v>
      </c>
      <c r="V344" s="115">
        <f t="shared" ref="V344:V348" si="3768">SUM(Z344:AD344)</f>
        <v>28000</v>
      </c>
      <c r="W344" s="115">
        <f t="shared" ref="W344:W348" si="3769">V344*FH344</f>
        <v>20160</v>
      </c>
      <c r="X344" s="115">
        <f t="shared" ref="X344:X348" si="3770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71">AA344*FH344</f>
        <v>0</v>
      </c>
      <c r="AF344" s="95">
        <f t="shared" ref="AF344:AF348" si="3772">AB344*FH344</f>
        <v>0</v>
      </c>
      <c r="AG344" s="114">
        <v>0</v>
      </c>
      <c r="AH344" s="95">
        <f t="shared" ref="AH344:AH348" si="3773">V344-AG344</f>
        <v>28000</v>
      </c>
      <c r="AI344" s="114">
        <f t="shared" ref="AI344:AI348" si="3774">IF(AH344&gt;0,AH344*FH344,0)</f>
        <v>20160</v>
      </c>
      <c r="AJ344" s="114">
        <f t="shared" ref="AJ344:AJ348" si="3775">CU344</f>
        <v>0</v>
      </c>
      <c r="AK344" s="114">
        <f t="shared" ref="AK344:AK348" si="3776">SUM(CS344:CU344)</f>
        <v>6920</v>
      </c>
      <c r="AL344" s="114">
        <f t="shared" ref="AL344:AL348" si="3777">SUM(CP344:CU344)</f>
        <v>28226</v>
      </c>
      <c r="AM344" s="114">
        <f t="shared" ref="AM344:AM348" si="3778">SUM(BK344:BP344)</f>
        <v>86090</v>
      </c>
      <c r="AN344" s="133">
        <f t="shared" ref="AN344:AN348" si="3779">IFERROR(S344/BQ344*30,"нет оборота")</f>
        <v>12.545011034963411</v>
      </c>
      <c r="AO344" s="133" t="str">
        <f t="shared" ref="AO344:AO348" si="3780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81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82">IF(AT344="Да",W344,0)</f>
        <v>0</v>
      </c>
      <c r="AX344" s="138"/>
      <c r="AY344" s="115">
        <f t="shared" ref="AY344:AY348" si="3783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84">BE344*FH344</f>
        <v>0</v>
      </c>
      <c r="BG344" s="32">
        <v>0</v>
      </c>
      <c r="BH344" s="32">
        <f t="shared" ref="BH344:BH348" si="3785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86">IF(COUNTIF(BK344:BP344,"&gt;0")=0,0,SUM(BK344:BP344)/COUNTIF(BK344:BP344,"&gt;0"))</f>
        <v>14348.333333333334</v>
      </c>
      <c r="BR344" s="95">
        <f t="shared" ref="BR344:BR348" si="3787">IF(OR(Q344=0,SUM(BK344:BP344)=0,V344&gt;Q344),V344-BK344,Q344-BK344)</f>
        <v>25562</v>
      </c>
      <c r="BS344" s="133">
        <f t="shared" si="3763"/>
        <v>10655</v>
      </c>
      <c r="BT344" s="133">
        <f t="shared" si="3763"/>
        <v>-6537</v>
      </c>
      <c r="BU344" s="133">
        <f t="shared" si="3763"/>
        <v>-23905</v>
      </c>
      <c r="BV344" s="133">
        <f t="shared" si="3763"/>
        <v>-36918</v>
      </c>
      <c r="BW344" s="133">
        <f t="shared" si="3763"/>
        <v>-48090</v>
      </c>
      <c r="BX344" s="133">
        <f t="shared" ref="BX344:CO344" si="3788">BW344-$BQ344</f>
        <v>-62438.333333333336</v>
      </c>
      <c r="BY344" s="133">
        <f t="shared" si="3788"/>
        <v>-76786.666666666672</v>
      </c>
      <c r="BZ344" s="133">
        <f t="shared" si="3788"/>
        <v>-91135</v>
      </c>
      <c r="CA344" s="133">
        <f t="shared" si="3788"/>
        <v>-105483.33333333333</v>
      </c>
      <c r="CB344" s="133">
        <f t="shared" si="3788"/>
        <v>-119831.66666666666</v>
      </c>
      <c r="CC344" s="133">
        <f t="shared" si="3788"/>
        <v>-134180</v>
      </c>
      <c r="CD344" s="133">
        <f t="shared" si="3788"/>
        <v>-148528.33333333334</v>
      </c>
      <c r="CE344" s="133">
        <f t="shared" si="3788"/>
        <v>-162876.66666666669</v>
      </c>
      <c r="CF344" s="133">
        <f t="shared" si="3788"/>
        <v>-177225.00000000003</v>
      </c>
      <c r="CG344" s="133">
        <f t="shared" si="3788"/>
        <v>-191573.33333333337</v>
      </c>
      <c r="CH344" s="133">
        <f t="shared" si="3788"/>
        <v>-205921.66666666672</v>
      </c>
      <c r="CI344" s="133">
        <f t="shared" si="3788"/>
        <v>-220270.00000000006</v>
      </c>
      <c r="CJ344" s="133">
        <f t="shared" si="3788"/>
        <v>-234618.3333333334</v>
      </c>
      <c r="CK344" s="133">
        <f t="shared" si="3788"/>
        <v>-248966.66666666674</v>
      </c>
      <c r="CL344" s="133">
        <f t="shared" si="3788"/>
        <v>-263315.00000000006</v>
      </c>
      <c r="CM344" s="133">
        <f t="shared" si="3788"/>
        <v>-277663.33333333337</v>
      </c>
      <c r="CN344" s="133">
        <f t="shared" si="3788"/>
        <v>-292011.66666666669</v>
      </c>
      <c r="CO344" s="133">
        <f t="shared" si="3788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89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730"/>
        <v>0</v>
      </c>
      <c r="DB344" s="4">
        <f t="shared" si="3731"/>
        <v>0</v>
      </c>
      <c r="DC344" s="4">
        <f t="shared" si="3732"/>
        <v>0</v>
      </c>
      <c r="DD344" s="136">
        <f t="shared" si="3733"/>
        <v>0</v>
      </c>
      <c r="DE344" s="31">
        <v>0</v>
      </c>
      <c r="DG344" s="31">
        <v>0</v>
      </c>
      <c r="DH344" s="48">
        <f t="shared" ref="DH344:DH348" si="3790">IFERROR(ROUNDUP(DG344/$EX344,0)*$EY344,0)</f>
        <v>0</v>
      </c>
      <c r="DI344" s="62">
        <v>6000</v>
      </c>
      <c r="DJ344" s="62">
        <v>4660.5200000000004</v>
      </c>
      <c r="DK344" s="48">
        <f t="shared" ref="DK344:DK348" si="3791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92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93">IFERROR(ROUNDUP(DS344/$EX344,0)*$EY344,0)</f>
        <v>1</v>
      </c>
      <c r="DV344" s="62">
        <v>0</v>
      </c>
      <c r="DW344" s="62">
        <v>0</v>
      </c>
      <c r="DX344" s="62">
        <f t="shared" ref="DX344:DX348" si="3794">$DF344*BK344/30</f>
        <v>0</v>
      </c>
      <c r="DY344" s="62">
        <f t="shared" ref="DY344:DY348" si="3795">DX344*$FH344</f>
        <v>0</v>
      </c>
      <c r="DZ344" s="48">
        <f t="shared" ref="DZ344:DZ348" si="3796">IFERROR(ROUNDUP(DX344/$EX344,0)*$EY344,0)</f>
        <v>0</v>
      </c>
      <c r="EA344" s="62">
        <f t="shared" ref="EA344:EA348" si="3797">$DF344*BL344/30</f>
        <v>0</v>
      </c>
      <c r="EB344" s="62">
        <f t="shared" ref="EB344:EB348" si="3798">EA344*$FH344</f>
        <v>0</v>
      </c>
      <c r="EC344" s="48">
        <f t="shared" ref="EC344:EC348" si="3799">IFERROR(ROUNDUP(EA344/$EX344,0)*$EY344,0)</f>
        <v>0</v>
      </c>
      <c r="ED344" s="62">
        <f t="shared" ref="ED344:ED348" si="3800">$DF344*BM344/30</f>
        <v>0</v>
      </c>
      <c r="EE344" s="62">
        <f t="shared" ref="EE344:EE348" si="3801">ED344*$FH344</f>
        <v>0</v>
      </c>
      <c r="EF344" s="48">
        <f t="shared" ref="EF344:EF348" si="3802">IFERROR(ROUNDUP(ED344/$EX344,0)*$EY344,0)</f>
        <v>0</v>
      </c>
      <c r="EG344" s="62">
        <f t="shared" ref="EG344:EG348" si="3803">$DF344*BN344/30</f>
        <v>0</v>
      </c>
      <c r="EH344" s="62">
        <f t="shared" ref="EH344:EH348" si="3804">EG344*$FH344</f>
        <v>0</v>
      </c>
      <c r="EI344" s="48">
        <f t="shared" ref="EI344:EI348" si="3805">IFERROR(ROUNDUP(EG344/$EX344,0)*$EY344,0)</f>
        <v>0</v>
      </c>
      <c r="EJ344" s="62">
        <f t="shared" ref="EJ344:EJ348" si="3806">$DF344*BO344/30</f>
        <v>0</v>
      </c>
      <c r="EK344" s="62">
        <f t="shared" ref="EK344:EK348" si="3807">EJ344*$FH344</f>
        <v>0</v>
      </c>
      <c r="EL344" s="48">
        <f t="shared" ref="EL344:EL348" si="3808">IFERROR(ROUNDUP(EJ344/$EX344,0)*$EY344,0)</f>
        <v>0</v>
      </c>
      <c r="EM344" s="62">
        <f t="shared" ref="EM344:EM348" si="3809">$DF344*BP344/30</f>
        <v>0</v>
      </c>
      <c r="EN344" s="62">
        <f t="shared" ref="EN344:EN348" si="3810">EM344*$FH344</f>
        <v>0</v>
      </c>
      <c r="EO344" s="48">
        <f t="shared" ref="EO344:EO348" si="3811">IFERROR(ROUNDUP(EM344/$EX344,0)*$EY344,0)</f>
        <v>0</v>
      </c>
      <c r="EP344" s="62">
        <f t="shared" ref="EP344:EU347" si="3812">BK344*$FH344</f>
        <v>8955.3599999999988</v>
      </c>
      <c r="EQ344" s="62">
        <f t="shared" si="3812"/>
        <v>10733.039999999999</v>
      </c>
      <c r="ER344" s="62">
        <f t="shared" si="3812"/>
        <v>12378.24</v>
      </c>
      <c r="ES344" s="62">
        <f t="shared" si="3812"/>
        <v>12504.96</v>
      </c>
      <c r="ET344" s="62">
        <f t="shared" si="3812"/>
        <v>9369.3599999999988</v>
      </c>
      <c r="EU344" s="62">
        <f t="shared" si="3812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813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 t="shared" si="3622"/>
        <v>1</v>
      </c>
      <c r="FS344" s="120" t="b">
        <f t="shared" si="3623"/>
        <v>1</v>
      </c>
      <c r="FT344" s="120" t="b">
        <f t="shared" si="3624"/>
        <v>1</v>
      </c>
      <c r="FU344" s="120" t="b">
        <f t="shared" si="3625"/>
        <v>1</v>
      </c>
      <c r="FV344" s="120" t="b">
        <f t="shared" si="3626"/>
        <v>1</v>
      </c>
      <c r="FW344" s="104" t="b">
        <f t="shared" si="3637"/>
        <v>0</v>
      </c>
      <c r="FX344" s="120" t="b">
        <f t="shared" ref="FX344:FX348" si="3814">EXACT(FQ344,BI344)</f>
        <v>1</v>
      </c>
      <c r="FY344" s="104" t="s">
        <v>368</v>
      </c>
      <c r="FZ344" s="104" t="b">
        <f t="shared" ref="FZ344:FZ348" si="3815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816">EXACT(GD344,C344)</f>
        <v>1</v>
      </c>
      <c r="GI344" s="8" t="b">
        <f t="shared" ref="GI344:GI348" si="3817">EXACT(GG344,G344)</f>
        <v>0</v>
      </c>
      <c r="GJ344" s="31" t="s">
        <v>203</v>
      </c>
    </row>
    <row r="345" spans="1:192" hidden="1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65"/>
        <v>больше макс</v>
      </c>
      <c r="Q345" s="95">
        <v>0</v>
      </c>
      <c r="R345" s="95">
        <f t="shared" si="3766"/>
        <v>0</v>
      </c>
      <c r="S345" s="114">
        <v>2104</v>
      </c>
      <c r="T345" s="114">
        <v>4186.96</v>
      </c>
      <c r="U345" s="131">
        <f t="shared" si="3767"/>
        <v>1</v>
      </c>
      <c r="V345" s="115">
        <f t="shared" si="3768"/>
        <v>0</v>
      </c>
      <c r="W345" s="115">
        <f t="shared" si="3769"/>
        <v>0</v>
      </c>
      <c r="X345" s="115">
        <f t="shared" si="3770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71"/>
        <v>0</v>
      </c>
      <c r="AF345" s="95">
        <f t="shared" si="3772"/>
        <v>0</v>
      </c>
      <c r="AG345" s="114">
        <v>0</v>
      </c>
      <c r="AH345" s="95">
        <f t="shared" si="3773"/>
        <v>0</v>
      </c>
      <c r="AI345" s="114">
        <f t="shared" si="3774"/>
        <v>0</v>
      </c>
      <c r="AJ345" s="114">
        <f t="shared" si="3775"/>
        <v>0</v>
      </c>
      <c r="AK345" s="114">
        <f t="shared" si="3776"/>
        <v>1772</v>
      </c>
      <c r="AL345" s="114">
        <f t="shared" si="3777"/>
        <v>6491</v>
      </c>
      <c r="AM345" s="114">
        <f t="shared" si="3778"/>
        <v>0</v>
      </c>
      <c r="AN345" s="133" t="str">
        <f t="shared" si="3779"/>
        <v>нет оборота</v>
      </c>
      <c r="AO345" s="133" t="str">
        <f t="shared" si="3780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81"/>
        <v>нет остатка</v>
      </c>
      <c r="AW345" s="126">
        <f t="shared" si="3782"/>
        <v>0</v>
      </c>
      <c r="AX345" s="138"/>
      <c r="AY345" s="115">
        <f t="shared" si="3783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84"/>
        <v>0</v>
      </c>
      <c r="BG345" s="32">
        <v>0</v>
      </c>
      <c r="BH345" s="32">
        <f t="shared" si="3785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86"/>
        <v>0</v>
      </c>
      <c r="BR345" s="95">
        <f t="shared" si="3787"/>
        <v>0</v>
      </c>
      <c r="BS345" s="133">
        <f t="shared" ref="BS345:BW348" si="3818">BR345-BL345</f>
        <v>0</v>
      </c>
      <c r="BT345" s="133">
        <f t="shared" si="3818"/>
        <v>0</v>
      </c>
      <c r="BU345" s="133">
        <f t="shared" si="3818"/>
        <v>0</v>
      </c>
      <c r="BV345" s="133">
        <f t="shared" si="3818"/>
        <v>0</v>
      </c>
      <c r="BW345" s="133">
        <f t="shared" si="3818"/>
        <v>0</v>
      </c>
      <c r="BX345" s="133">
        <f t="shared" ref="BX345:CO346" si="3819">BW345-$BQ345</f>
        <v>0</v>
      </c>
      <c r="BY345" s="133">
        <f t="shared" si="3819"/>
        <v>0</v>
      </c>
      <c r="BZ345" s="133">
        <f t="shared" si="3819"/>
        <v>0</v>
      </c>
      <c r="CA345" s="133">
        <f t="shared" si="3819"/>
        <v>0</v>
      </c>
      <c r="CB345" s="133">
        <f t="shared" si="3819"/>
        <v>0</v>
      </c>
      <c r="CC345" s="133">
        <f t="shared" si="3819"/>
        <v>0</v>
      </c>
      <c r="CD345" s="133">
        <f t="shared" si="3819"/>
        <v>0</v>
      </c>
      <c r="CE345" s="133">
        <f t="shared" si="3819"/>
        <v>0</v>
      </c>
      <c r="CF345" s="133">
        <f t="shared" si="3819"/>
        <v>0</v>
      </c>
      <c r="CG345" s="133">
        <f t="shared" si="3819"/>
        <v>0</v>
      </c>
      <c r="CH345" s="133">
        <f t="shared" si="3819"/>
        <v>0</v>
      </c>
      <c r="CI345" s="133">
        <f t="shared" si="3819"/>
        <v>0</v>
      </c>
      <c r="CJ345" s="133">
        <f t="shared" si="3819"/>
        <v>0</v>
      </c>
      <c r="CK345" s="133">
        <f t="shared" si="3819"/>
        <v>0</v>
      </c>
      <c r="CL345" s="133">
        <f t="shared" si="3819"/>
        <v>0</v>
      </c>
      <c r="CM345" s="133">
        <f t="shared" si="3819"/>
        <v>0</v>
      </c>
      <c r="CN345" s="133">
        <f t="shared" si="3819"/>
        <v>0</v>
      </c>
      <c r="CO345" s="133">
        <f t="shared" si="3819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89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820">IFERROR(CZ345/CY345,0)</f>
        <v>0</v>
      </c>
      <c r="DB345" s="4">
        <f t="shared" ref="DB345:DB347" si="3821">CY345*FH345</f>
        <v>0</v>
      </c>
      <c r="DC345" s="4">
        <f t="shared" ref="DC345:DC347" si="3822">CZ345*FH345</f>
        <v>0</v>
      </c>
      <c r="DD345" s="136">
        <f t="shared" ref="DD345:DD347" si="3823">IFERROR(DC345/DB345,0)</f>
        <v>0</v>
      </c>
      <c r="DE345" s="31">
        <v>0</v>
      </c>
      <c r="DG345" s="31">
        <v>0</v>
      </c>
      <c r="DH345" s="48">
        <f t="shared" si="3790"/>
        <v>0</v>
      </c>
      <c r="DI345" s="62">
        <v>2197.1610000000001</v>
      </c>
      <c r="DJ345" s="62">
        <v>4374.0169999999998</v>
      </c>
      <c r="DK345" s="48">
        <f t="shared" si="3791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92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93"/>
        <v>1</v>
      </c>
      <c r="DV345" s="62">
        <v>1668</v>
      </c>
      <c r="DW345" s="62">
        <v>3331.776830601093</v>
      </c>
      <c r="DX345" s="62">
        <f t="shared" si="3794"/>
        <v>0</v>
      </c>
      <c r="DY345" s="62">
        <f t="shared" si="3795"/>
        <v>0</v>
      </c>
      <c r="DZ345" s="48">
        <f t="shared" si="3796"/>
        <v>0</v>
      </c>
      <c r="EA345" s="62">
        <f t="shared" si="3797"/>
        <v>0</v>
      </c>
      <c r="EB345" s="62">
        <f t="shared" si="3798"/>
        <v>0</v>
      </c>
      <c r="EC345" s="48">
        <f t="shared" si="3799"/>
        <v>0</v>
      </c>
      <c r="ED345" s="62">
        <f t="shared" si="3800"/>
        <v>0</v>
      </c>
      <c r="EE345" s="62">
        <f t="shared" si="3801"/>
        <v>0</v>
      </c>
      <c r="EF345" s="48">
        <f t="shared" si="3802"/>
        <v>0</v>
      </c>
      <c r="EG345" s="62">
        <f t="shared" si="3803"/>
        <v>0</v>
      </c>
      <c r="EH345" s="62">
        <f t="shared" si="3804"/>
        <v>0</v>
      </c>
      <c r="EI345" s="48">
        <f t="shared" si="3805"/>
        <v>0</v>
      </c>
      <c r="EJ345" s="62">
        <f t="shared" si="3806"/>
        <v>0</v>
      </c>
      <c r="EK345" s="62">
        <f t="shared" si="3807"/>
        <v>0</v>
      </c>
      <c r="EL345" s="48">
        <f t="shared" si="3808"/>
        <v>0</v>
      </c>
      <c r="EM345" s="62">
        <f t="shared" si="3809"/>
        <v>0</v>
      </c>
      <c r="EN345" s="62">
        <f t="shared" si="3810"/>
        <v>0</v>
      </c>
      <c r="EO345" s="48">
        <f t="shared" si="3811"/>
        <v>0</v>
      </c>
      <c r="EP345" s="62">
        <f t="shared" si="3812"/>
        <v>0</v>
      </c>
      <c r="EQ345" s="62">
        <f t="shared" si="3812"/>
        <v>0</v>
      </c>
      <c r="ER345" s="62">
        <f t="shared" si="3812"/>
        <v>0</v>
      </c>
      <c r="ES345" s="62">
        <f t="shared" si="3812"/>
        <v>0</v>
      </c>
      <c r="ET345" s="62">
        <f t="shared" si="3812"/>
        <v>0</v>
      </c>
      <c r="EU345" s="62">
        <f t="shared" si="3812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813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 t="shared" si="3622"/>
        <v>1</v>
      </c>
      <c r="FS345" s="120" t="b">
        <f t="shared" si="3623"/>
        <v>1</v>
      </c>
      <c r="FT345" s="120" t="b">
        <f t="shared" si="3624"/>
        <v>1</v>
      </c>
      <c r="FU345" s="120" t="b">
        <f t="shared" si="3625"/>
        <v>1</v>
      </c>
      <c r="FV345" s="120" t="b">
        <f t="shared" si="3626"/>
        <v>1</v>
      </c>
      <c r="FW345" s="104" t="b">
        <f t="shared" si="3637"/>
        <v>0</v>
      </c>
      <c r="FX345" s="120" t="b">
        <f t="shared" si="3814"/>
        <v>1</v>
      </c>
      <c r="FY345" s="104" t="s">
        <v>368</v>
      </c>
      <c r="FZ345" s="104" t="b">
        <f t="shared" si="3815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816"/>
        <v>1</v>
      </c>
      <c r="GI345" s="8" t="b">
        <f t="shared" si="3817"/>
        <v>0</v>
      </c>
      <c r="GJ345" s="31" t="s">
        <v>203</v>
      </c>
    </row>
    <row r="346" spans="1:192" ht="30" hidden="1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65"/>
        <v>нет минмакс</v>
      </c>
      <c r="Q346" s="95">
        <v>12</v>
      </c>
      <c r="R346" s="95">
        <f t="shared" si="3766"/>
        <v>3554.88</v>
      </c>
      <c r="S346" s="131">
        <v>12</v>
      </c>
      <c r="T346" s="131">
        <v>3554.88</v>
      </c>
      <c r="U346" s="131">
        <f t="shared" si="3767"/>
        <v>1.5</v>
      </c>
      <c r="V346" s="113">
        <f t="shared" si="3768"/>
        <v>12</v>
      </c>
      <c r="W346" s="113">
        <f t="shared" si="3769"/>
        <v>3554.88</v>
      </c>
      <c r="X346" s="113">
        <f t="shared" si="3770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71"/>
        <v>0</v>
      </c>
      <c r="AF346" s="95">
        <f t="shared" si="3772"/>
        <v>0</v>
      </c>
      <c r="AG346" s="114">
        <v>0</v>
      </c>
      <c r="AH346" s="95">
        <f t="shared" si="3773"/>
        <v>12</v>
      </c>
      <c r="AI346" s="114">
        <f t="shared" si="3774"/>
        <v>3554.88</v>
      </c>
      <c r="AJ346" s="133">
        <f t="shared" si="3775"/>
        <v>0</v>
      </c>
      <c r="AK346" s="133">
        <f t="shared" si="3776"/>
        <v>0</v>
      </c>
      <c r="AL346" s="133">
        <f t="shared" si="3777"/>
        <v>59</v>
      </c>
      <c r="AM346" s="133">
        <f t="shared" si="3778"/>
        <v>0</v>
      </c>
      <c r="AN346" s="133" t="str">
        <f t="shared" si="3779"/>
        <v>нет оборота</v>
      </c>
      <c r="AO346" s="133" t="str">
        <f t="shared" si="3780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81"/>
        <v>Нет планов</v>
      </c>
      <c r="AW346" s="117">
        <f t="shared" si="3782"/>
        <v>3554.88</v>
      </c>
      <c r="AX346" s="14">
        <f>MONTH(BC346)-6</f>
        <v>4</v>
      </c>
      <c r="AY346" s="25">
        <f t="shared" si="3783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84"/>
        <v>0</v>
      </c>
      <c r="BG346" s="32">
        <v>0</v>
      </c>
      <c r="BH346" s="32">
        <f t="shared" si="3785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86"/>
        <v>0</v>
      </c>
      <c r="BR346" s="95">
        <f t="shared" si="3787"/>
        <v>12</v>
      </c>
      <c r="BS346" s="133">
        <f t="shared" si="3818"/>
        <v>12</v>
      </c>
      <c r="BT346" s="133">
        <f t="shared" si="3818"/>
        <v>12</v>
      </c>
      <c r="BU346" s="133">
        <f t="shared" si="3818"/>
        <v>12</v>
      </c>
      <c r="BV346" s="133">
        <f t="shared" si="3818"/>
        <v>12</v>
      </c>
      <c r="BW346" s="133">
        <f t="shared" si="3818"/>
        <v>12</v>
      </c>
      <c r="BX346" s="133">
        <f t="shared" si="3819"/>
        <v>12</v>
      </c>
      <c r="BY346" s="133">
        <f t="shared" si="3819"/>
        <v>12</v>
      </c>
      <c r="BZ346" s="133">
        <f t="shared" si="3819"/>
        <v>12</v>
      </c>
      <c r="CA346" s="133">
        <f t="shared" ref="CA346:CO346" si="3824">BZ346-$BQ346</f>
        <v>12</v>
      </c>
      <c r="CB346" s="133">
        <f t="shared" si="3824"/>
        <v>12</v>
      </c>
      <c r="CC346" s="133">
        <f t="shared" si="3824"/>
        <v>12</v>
      </c>
      <c r="CD346" s="133">
        <f t="shared" si="3824"/>
        <v>12</v>
      </c>
      <c r="CE346" s="133">
        <f t="shared" si="3824"/>
        <v>12</v>
      </c>
      <c r="CF346" s="133">
        <f t="shared" si="3824"/>
        <v>12</v>
      </c>
      <c r="CG346" s="133">
        <f t="shared" si="3824"/>
        <v>12</v>
      </c>
      <c r="CH346" s="133">
        <f t="shared" si="3824"/>
        <v>12</v>
      </c>
      <c r="CI346" s="133">
        <f t="shared" si="3824"/>
        <v>12</v>
      </c>
      <c r="CJ346" s="133">
        <f t="shared" si="3824"/>
        <v>12</v>
      </c>
      <c r="CK346" s="133">
        <f t="shared" si="3824"/>
        <v>12</v>
      </c>
      <c r="CL346" s="133">
        <f t="shared" si="3824"/>
        <v>12</v>
      </c>
      <c r="CM346" s="133">
        <f t="shared" si="3824"/>
        <v>12</v>
      </c>
      <c r="CN346" s="133">
        <f t="shared" si="3824"/>
        <v>12</v>
      </c>
      <c r="CO346" s="133">
        <f t="shared" si="3824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89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820"/>
        <v>0</v>
      </c>
      <c r="DB346" s="4">
        <f t="shared" si="3821"/>
        <v>0</v>
      </c>
      <c r="DC346" s="4">
        <f t="shared" si="3822"/>
        <v>0</v>
      </c>
      <c r="DD346" s="136">
        <f t="shared" si="3823"/>
        <v>0</v>
      </c>
      <c r="DE346" s="31">
        <v>0</v>
      </c>
      <c r="DF346" s="31">
        <v>25</v>
      </c>
      <c r="DG346" s="31">
        <v>0</v>
      </c>
      <c r="DH346" s="48">
        <f t="shared" si="3790"/>
        <v>0</v>
      </c>
      <c r="DI346" s="62">
        <v>12</v>
      </c>
      <c r="DJ346" s="62">
        <v>3554.86</v>
      </c>
      <c r="DK346" s="48">
        <f t="shared" si="3791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92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93"/>
        <v>1.5</v>
      </c>
      <c r="DV346" s="62">
        <v>0</v>
      </c>
      <c r="DW346" s="62">
        <v>0</v>
      </c>
      <c r="DX346" s="62">
        <f t="shared" si="3794"/>
        <v>0</v>
      </c>
      <c r="DY346" s="62">
        <f t="shared" si="3795"/>
        <v>0</v>
      </c>
      <c r="DZ346" s="48">
        <f t="shared" si="3796"/>
        <v>0</v>
      </c>
      <c r="EA346" s="62">
        <f t="shared" si="3797"/>
        <v>0</v>
      </c>
      <c r="EB346" s="62">
        <f t="shared" si="3798"/>
        <v>0</v>
      </c>
      <c r="EC346" s="48">
        <f t="shared" si="3799"/>
        <v>0</v>
      </c>
      <c r="ED346" s="62">
        <f t="shared" si="3800"/>
        <v>0</v>
      </c>
      <c r="EE346" s="62">
        <f t="shared" si="3801"/>
        <v>0</v>
      </c>
      <c r="EF346" s="48">
        <f t="shared" si="3802"/>
        <v>0</v>
      </c>
      <c r="EG346" s="62">
        <f t="shared" si="3803"/>
        <v>0</v>
      </c>
      <c r="EH346" s="62">
        <f t="shared" si="3804"/>
        <v>0</v>
      </c>
      <c r="EI346" s="48">
        <f t="shared" si="3805"/>
        <v>0</v>
      </c>
      <c r="EJ346" s="62">
        <f t="shared" si="3806"/>
        <v>0</v>
      </c>
      <c r="EK346" s="62">
        <f t="shared" si="3807"/>
        <v>0</v>
      </c>
      <c r="EL346" s="48">
        <f t="shared" si="3808"/>
        <v>0</v>
      </c>
      <c r="EM346" s="62">
        <f t="shared" si="3809"/>
        <v>0</v>
      </c>
      <c r="EN346" s="62">
        <f t="shared" si="3810"/>
        <v>0</v>
      </c>
      <c r="EO346" s="48">
        <f t="shared" si="3811"/>
        <v>0</v>
      </c>
      <c r="EP346" s="62">
        <f t="shared" si="3812"/>
        <v>0</v>
      </c>
      <c r="EQ346" s="62">
        <f t="shared" si="3812"/>
        <v>0</v>
      </c>
      <c r="ER346" s="62">
        <f t="shared" si="3812"/>
        <v>0</v>
      </c>
      <c r="ES346" s="62">
        <f t="shared" si="3812"/>
        <v>0</v>
      </c>
      <c r="ET346" s="62">
        <f t="shared" si="3812"/>
        <v>0</v>
      </c>
      <c r="EU346" s="62">
        <f t="shared" si="3812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813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 t="shared" si="3622"/>
        <v>1</v>
      </c>
      <c r="FS346" s="103" t="b">
        <f t="shared" si="3623"/>
        <v>1</v>
      </c>
      <c r="FT346" s="103" t="b">
        <f t="shared" si="3624"/>
        <v>1</v>
      </c>
      <c r="FU346" s="103" t="b">
        <f t="shared" si="3625"/>
        <v>0</v>
      </c>
      <c r="FV346" s="103" t="b">
        <f t="shared" si="3626"/>
        <v>1</v>
      </c>
      <c r="FW346" s="104" t="b">
        <f t="shared" si="3637"/>
        <v>0</v>
      </c>
      <c r="FX346" s="120" t="b">
        <f t="shared" si="3814"/>
        <v>1</v>
      </c>
      <c r="FY346" s="104" t="s">
        <v>214</v>
      </c>
      <c r="FZ346" s="104" t="b">
        <f t="shared" si="3815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816"/>
        <v>1</v>
      </c>
      <c r="GI346" s="8" t="b">
        <f t="shared" si="3817"/>
        <v>0</v>
      </c>
    </row>
    <row r="347" spans="1:192" hidden="1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65"/>
        <v>нет минмакс</v>
      </c>
      <c r="Q347" s="95">
        <v>1046.6140058040619</v>
      </c>
      <c r="R347" s="95">
        <f t="shared" si="3766"/>
        <v>129528.94935831071</v>
      </c>
      <c r="S347" s="114">
        <v>28.473000526428223</v>
      </c>
      <c r="T347" s="114">
        <v>4002.7344140052801</v>
      </c>
      <c r="U347" s="131">
        <f t="shared" si="3767"/>
        <v>0</v>
      </c>
      <c r="V347" s="115">
        <f t="shared" si="3768"/>
        <v>0</v>
      </c>
      <c r="W347" s="115">
        <f t="shared" si="3769"/>
        <v>0</v>
      </c>
      <c r="X347" s="115">
        <f t="shared" si="3770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71"/>
        <v>0</v>
      </c>
      <c r="AF347" s="95">
        <f t="shared" si="3772"/>
        <v>0</v>
      </c>
      <c r="AG347" s="114">
        <v>0</v>
      </c>
      <c r="AH347" s="95">
        <f t="shared" si="3773"/>
        <v>0</v>
      </c>
      <c r="AI347" s="114">
        <f t="shared" si="3774"/>
        <v>0</v>
      </c>
      <c r="AJ347" s="114">
        <f t="shared" si="3775"/>
        <v>143007</v>
      </c>
      <c r="AK347" s="114">
        <f t="shared" si="3776"/>
        <v>385046</v>
      </c>
      <c r="AL347" s="114">
        <f t="shared" si="3777"/>
        <v>639142</v>
      </c>
      <c r="AM347" s="114">
        <f t="shared" si="3778"/>
        <v>739470.51</v>
      </c>
      <c r="AN347" s="133">
        <f t="shared" si="3779"/>
        <v>6.9308241849388684E-3</v>
      </c>
      <c r="AO347" s="133" t="str">
        <f t="shared" si="3780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81"/>
        <v>нет остатка</v>
      </c>
      <c r="AW347" s="126">
        <f t="shared" si="3782"/>
        <v>0</v>
      </c>
      <c r="AX347" s="138"/>
      <c r="AY347" s="115">
        <f t="shared" si="3783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84"/>
        <v>0</v>
      </c>
      <c r="BG347" s="32">
        <v>0</v>
      </c>
      <c r="BH347" s="32">
        <f t="shared" si="3785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86"/>
        <v>123245.08500000001</v>
      </c>
      <c r="BR347" s="95">
        <f t="shared" si="3787"/>
        <v>-124588.32599419594</v>
      </c>
      <c r="BS347" s="133">
        <f t="shared" si="3818"/>
        <v>-242656.41599419594</v>
      </c>
      <c r="BT347" s="133">
        <f t="shared" si="3818"/>
        <v>-374991.87599419593</v>
      </c>
      <c r="BU347" s="133">
        <f t="shared" si="3818"/>
        <v>-505111.86599419592</v>
      </c>
      <c r="BV347" s="133">
        <f t="shared" si="3818"/>
        <v>-627691.88599419594</v>
      </c>
      <c r="BW347" s="133">
        <f t="shared" si="3818"/>
        <v>-738423.89599419595</v>
      </c>
      <c r="BX347" s="133">
        <f t="shared" ref="BX347:CO347" si="3825">BW347-$BQ347</f>
        <v>-861668.98099419591</v>
      </c>
      <c r="BY347" s="133">
        <f t="shared" si="3825"/>
        <v>-984914.06599419587</v>
      </c>
      <c r="BZ347" s="133">
        <f t="shared" si="3825"/>
        <v>-1108159.1509941958</v>
      </c>
      <c r="CA347" s="133">
        <f t="shared" si="3825"/>
        <v>-1231404.2359941958</v>
      </c>
      <c r="CB347" s="133">
        <f t="shared" si="3825"/>
        <v>-1354649.3209941958</v>
      </c>
      <c r="CC347" s="133">
        <f t="shared" si="3825"/>
        <v>-1477894.4059941957</v>
      </c>
      <c r="CD347" s="133">
        <f t="shared" si="3825"/>
        <v>-1601139.4909941957</v>
      </c>
      <c r="CE347" s="133">
        <f t="shared" si="3825"/>
        <v>-1724384.5759941956</v>
      </c>
      <c r="CF347" s="133">
        <f t="shared" si="3825"/>
        <v>-1847629.6609941956</v>
      </c>
      <c r="CG347" s="133">
        <f t="shared" si="3825"/>
        <v>-1970874.7459941956</v>
      </c>
      <c r="CH347" s="133">
        <f t="shared" si="3825"/>
        <v>-2094119.8309941955</v>
      </c>
      <c r="CI347" s="133">
        <f t="shared" si="3825"/>
        <v>-2217364.9159941957</v>
      </c>
      <c r="CJ347" s="133">
        <f t="shared" si="3825"/>
        <v>-2340610.0009941957</v>
      </c>
      <c r="CK347" s="133">
        <f t="shared" si="3825"/>
        <v>-2463855.0859941957</v>
      </c>
      <c r="CL347" s="133">
        <f t="shared" si="3825"/>
        <v>-2587100.1709941956</v>
      </c>
      <c r="CM347" s="133">
        <f t="shared" si="3825"/>
        <v>-2710345.2559941956</v>
      </c>
      <c r="CN347" s="133">
        <f t="shared" si="3825"/>
        <v>-2833590.3409941955</v>
      </c>
      <c r="CO347" s="133">
        <f t="shared" si="3825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89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820"/>
        <v>0</v>
      </c>
      <c r="DB347" s="4">
        <f t="shared" si="3821"/>
        <v>0</v>
      </c>
      <c r="DC347" s="4">
        <f t="shared" si="3822"/>
        <v>0</v>
      </c>
      <c r="DD347" s="136">
        <f t="shared" si="3823"/>
        <v>0</v>
      </c>
      <c r="DE347" s="31">
        <v>0</v>
      </c>
      <c r="DG347" s="31">
        <v>0</v>
      </c>
      <c r="DH347" s="48">
        <f t="shared" si="3790"/>
        <v>0</v>
      </c>
      <c r="DI347" s="62">
        <v>260.12399999999997</v>
      </c>
      <c r="DJ347" s="62">
        <v>35783.837</v>
      </c>
      <c r="DK347" s="48">
        <f t="shared" si="3791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92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93"/>
        <v>0</v>
      </c>
      <c r="DV347" s="62">
        <v>178584.73900000015</v>
      </c>
      <c r="DW347" s="62">
        <v>23944215.120076898</v>
      </c>
      <c r="DX347" s="62">
        <f t="shared" si="3794"/>
        <v>0</v>
      </c>
      <c r="DY347" s="62">
        <f t="shared" si="3795"/>
        <v>0</v>
      </c>
      <c r="DZ347" s="48">
        <f t="shared" si="3796"/>
        <v>0</v>
      </c>
      <c r="EA347" s="62">
        <f t="shared" si="3797"/>
        <v>0</v>
      </c>
      <c r="EB347" s="62">
        <f t="shared" si="3798"/>
        <v>0</v>
      </c>
      <c r="EC347" s="48">
        <f t="shared" si="3799"/>
        <v>0</v>
      </c>
      <c r="ED347" s="62">
        <f t="shared" si="3800"/>
        <v>0</v>
      </c>
      <c r="EE347" s="62">
        <f t="shared" si="3801"/>
        <v>0</v>
      </c>
      <c r="EF347" s="48">
        <f t="shared" si="3802"/>
        <v>0</v>
      </c>
      <c r="EG347" s="62">
        <f t="shared" si="3803"/>
        <v>0</v>
      </c>
      <c r="EH347" s="62">
        <f t="shared" si="3804"/>
        <v>0</v>
      </c>
      <c r="EI347" s="48">
        <f t="shared" si="3805"/>
        <v>0</v>
      </c>
      <c r="EJ347" s="62">
        <f t="shared" si="3806"/>
        <v>0</v>
      </c>
      <c r="EK347" s="62">
        <f t="shared" si="3807"/>
        <v>0</v>
      </c>
      <c r="EL347" s="48">
        <f t="shared" si="3808"/>
        <v>0</v>
      </c>
      <c r="EM347" s="62">
        <f t="shared" si="3809"/>
        <v>0</v>
      </c>
      <c r="EN347" s="62">
        <f t="shared" si="3810"/>
        <v>0</v>
      </c>
      <c r="EO347" s="48">
        <f t="shared" si="3811"/>
        <v>0</v>
      </c>
      <c r="EP347" s="62">
        <f t="shared" si="3812"/>
        <v>15548580.174400002</v>
      </c>
      <c r="EQ347" s="62">
        <f t="shared" si="3812"/>
        <v>14612106.818399999</v>
      </c>
      <c r="ER347" s="62">
        <f t="shared" si="3812"/>
        <v>16377836.5296</v>
      </c>
      <c r="ES347" s="62">
        <f t="shared" si="3812"/>
        <v>16103649.962400001</v>
      </c>
      <c r="ET347" s="62">
        <f t="shared" si="3812"/>
        <v>15170503.275200002</v>
      </c>
      <c r="EU347" s="62">
        <f t="shared" si="3812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813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 t="shared" si="3622"/>
        <v>1</v>
      </c>
      <c r="FS347" s="120" t="b">
        <f t="shared" si="3623"/>
        <v>1</v>
      </c>
      <c r="FT347" s="120" t="b">
        <f t="shared" si="3624"/>
        <v>1</v>
      </c>
      <c r="FU347" s="120" t="b">
        <f t="shared" si="3625"/>
        <v>1</v>
      </c>
      <c r="FV347" s="120" t="b">
        <f t="shared" si="3626"/>
        <v>1</v>
      </c>
      <c r="FW347" s="104" t="b">
        <f t="shared" si="3637"/>
        <v>0</v>
      </c>
      <c r="FX347" s="120" t="b">
        <f t="shared" si="3814"/>
        <v>1</v>
      </c>
      <c r="FY347" s="104" t="s">
        <v>368</v>
      </c>
      <c r="FZ347" s="104" t="b">
        <f t="shared" si="3815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816"/>
        <v>1</v>
      </c>
      <c r="GI347" s="8" t="b">
        <f t="shared" si="3817"/>
        <v>0</v>
      </c>
      <c r="GJ347" s="31" t="s">
        <v>203</v>
      </c>
    </row>
    <row r="348" spans="1:192" hidden="1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65"/>
        <v>нет минмакс</v>
      </c>
      <c r="Q348" s="95">
        <v>4</v>
      </c>
      <c r="R348" s="95">
        <f t="shared" si="3766"/>
        <v>2834.12</v>
      </c>
      <c r="S348" s="131">
        <v>4</v>
      </c>
      <c r="T348" s="131">
        <v>2834.12</v>
      </c>
      <c r="U348" s="131">
        <f t="shared" si="3767"/>
        <v>0</v>
      </c>
      <c r="V348" s="113">
        <f t="shared" si="3768"/>
        <v>4</v>
      </c>
      <c r="W348" s="113">
        <f t="shared" si="3769"/>
        <v>2834.12</v>
      </c>
      <c r="X348" s="113">
        <f t="shared" si="3770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71"/>
        <v>0</v>
      </c>
      <c r="AF348" s="95">
        <f t="shared" si="3772"/>
        <v>0</v>
      </c>
      <c r="AG348" s="114">
        <v>0</v>
      </c>
      <c r="AH348" s="95">
        <f t="shared" si="3773"/>
        <v>4</v>
      </c>
      <c r="AI348" s="114">
        <f t="shared" si="3774"/>
        <v>2834.12</v>
      </c>
      <c r="AJ348" s="133">
        <f t="shared" si="3775"/>
        <v>0</v>
      </c>
      <c r="AK348" s="133">
        <f t="shared" si="3776"/>
        <v>0</v>
      </c>
      <c r="AL348" s="133">
        <f t="shared" si="3777"/>
        <v>0</v>
      </c>
      <c r="AM348" s="133">
        <f t="shared" si="3778"/>
        <v>0</v>
      </c>
      <c r="AN348" s="133" t="str">
        <f t="shared" si="3779"/>
        <v>нет оборота</v>
      </c>
      <c r="AO348" s="133" t="str">
        <f t="shared" si="3780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81"/>
        <v>Нет планов</v>
      </c>
      <c r="AW348" s="117">
        <f t="shared" si="3782"/>
        <v>2834.12</v>
      </c>
      <c r="AX348" s="14"/>
      <c r="AY348" s="25">
        <f t="shared" si="3783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84"/>
        <v>0</v>
      </c>
      <c r="BG348" s="32">
        <v>0</v>
      </c>
      <c r="BH348" s="32">
        <f t="shared" si="3785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86"/>
        <v>0</v>
      </c>
      <c r="BR348" s="95">
        <f t="shared" si="3787"/>
        <v>4</v>
      </c>
      <c r="BS348" s="133">
        <f t="shared" si="3818"/>
        <v>4</v>
      </c>
      <c r="BT348" s="133">
        <f t="shared" si="3818"/>
        <v>4</v>
      </c>
      <c r="BU348" s="133">
        <f t="shared" si="3818"/>
        <v>4</v>
      </c>
      <c r="BV348" s="133">
        <f t="shared" si="3818"/>
        <v>4</v>
      </c>
      <c r="BW348" s="133">
        <f t="shared" si="3818"/>
        <v>4</v>
      </c>
      <c r="BX348" s="133">
        <f t="shared" ref="BX348:CO348" si="3826">BW348-$BQ348</f>
        <v>4</v>
      </c>
      <c r="BY348" s="133">
        <f t="shared" si="3826"/>
        <v>4</v>
      </c>
      <c r="BZ348" s="133">
        <f t="shared" si="3826"/>
        <v>4</v>
      </c>
      <c r="CA348" s="133">
        <f t="shared" si="3826"/>
        <v>4</v>
      </c>
      <c r="CB348" s="133">
        <f t="shared" si="3826"/>
        <v>4</v>
      </c>
      <c r="CC348" s="133">
        <f t="shared" si="3826"/>
        <v>4</v>
      </c>
      <c r="CD348" s="133">
        <f t="shared" si="3826"/>
        <v>4</v>
      </c>
      <c r="CE348" s="133">
        <f t="shared" si="3826"/>
        <v>4</v>
      </c>
      <c r="CF348" s="133">
        <f t="shared" si="3826"/>
        <v>4</v>
      </c>
      <c r="CG348" s="133">
        <f t="shared" si="3826"/>
        <v>4</v>
      </c>
      <c r="CH348" s="133">
        <f t="shared" si="3826"/>
        <v>4</v>
      </c>
      <c r="CI348" s="133">
        <f t="shared" si="3826"/>
        <v>4</v>
      </c>
      <c r="CJ348" s="133">
        <f t="shared" si="3826"/>
        <v>4</v>
      </c>
      <c r="CK348" s="133">
        <f t="shared" si="3826"/>
        <v>4</v>
      </c>
      <c r="CL348" s="133">
        <f t="shared" si="3826"/>
        <v>4</v>
      </c>
      <c r="CM348" s="133">
        <f t="shared" si="3826"/>
        <v>4</v>
      </c>
      <c r="CN348" s="133">
        <f t="shared" si="3826"/>
        <v>4</v>
      </c>
      <c r="CO348" s="133">
        <f t="shared" si="3826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89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827">IFERROR(CZ348/CY348,0)</f>
        <v>0</v>
      </c>
      <c r="DB348" s="4">
        <f t="shared" ref="DB348:DB357" si="3828">CY348*FH348</f>
        <v>0</v>
      </c>
      <c r="DC348" s="4">
        <f t="shared" ref="DC348:DC357" si="3829">CZ348*FH348</f>
        <v>0</v>
      </c>
      <c r="DD348" s="136">
        <f t="shared" ref="DD348:DD357" si="3830">IFERROR(DC348/DB348,0)</f>
        <v>0</v>
      </c>
      <c r="DE348" s="31">
        <v>0</v>
      </c>
      <c r="DF348" s="31">
        <v>25</v>
      </c>
      <c r="DG348" s="31">
        <v>4</v>
      </c>
      <c r="DH348" s="48">
        <f t="shared" si="3790"/>
        <v>0</v>
      </c>
      <c r="DI348" s="62">
        <v>4</v>
      </c>
      <c r="DJ348" s="62">
        <v>2834.13</v>
      </c>
      <c r="DK348" s="48">
        <f t="shared" si="3791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92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93"/>
        <v>0</v>
      </c>
      <c r="DV348" s="62">
        <v>0</v>
      </c>
      <c r="DW348" s="62">
        <v>0</v>
      </c>
      <c r="DX348" s="62">
        <f t="shared" si="3794"/>
        <v>0</v>
      </c>
      <c r="DY348" s="62">
        <f t="shared" si="3795"/>
        <v>0</v>
      </c>
      <c r="DZ348" s="48">
        <f t="shared" si="3796"/>
        <v>0</v>
      </c>
      <c r="EA348" s="62">
        <f t="shared" si="3797"/>
        <v>0</v>
      </c>
      <c r="EB348" s="62">
        <f t="shared" si="3798"/>
        <v>0</v>
      </c>
      <c r="EC348" s="48">
        <f t="shared" si="3799"/>
        <v>0</v>
      </c>
      <c r="ED348" s="62">
        <f t="shared" si="3800"/>
        <v>0</v>
      </c>
      <c r="EE348" s="62">
        <f t="shared" si="3801"/>
        <v>0</v>
      </c>
      <c r="EF348" s="48">
        <f t="shared" si="3802"/>
        <v>0</v>
      </c>
      <c r="EG348" s="62">
        <f t="shared" si="3803"/>
        <v>0</v>
      </c>
      <c r="EH348" s="62">
        <f t="shared" si="3804"/>
        <v>0</v>
      </c>
      <c r="EI348" s="48">
        <f t="shared" si="3805"/>
        <v>0</v>
      </c>
      <c r="EJ348" s="62">
        <f t="shared" si="3806"/>
        <v>0</v>
      </c>
      <c r="EK348" s="62">
        <f t="shared" si="3807"/>
        <v>0</v>
      </c>
      <c r="EL348" s="48">
        <f t="shared" si="3808"/>
        <v>0</v>
      </c>
      <c r="EM348" s="62">
        <f t="shared" si="3809"/>
        <v>0</v>
      </c>
      <c r="EN348" s="62">
        <f t="shared" si="3810"/>
        <v>0</v>
      </c>
      <c r="EO348" s="48">
        <f t="shared" si="3811"/>
        <v>0</v>
      </c>
      <c r="EP348" s="62">
        <f t="shared" ref="EP348:ER354" si="3831">BK348*$FH348</f>
        <v>0</v>
      </c>
      <c r="EQ348" s="62">
        <f t="shared" si="3831"/>
        <v>0</v>
      </c>
      <c r="ER348" s="62">
        <f t="shared" si="3831"/>
        <v>0</v>
      </c>
      <c r="ES348" s="62">
        <f t="shared" ref="ES348:EU354" si="3832">BN348*$FH348</f>
        <v>0</v>
      </c>
      <c r="ET348" s="62">
        <f t="shared" si="3832"/>
        <v>0</v>
      </c>
      <c r="EU348" s="62">
        <f t="shared" si="3832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813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 t="shared" si="3622"/>
        <v>1</v>
      </c>
      <c r="FS348" s="103" t="b">
        <f t="shared" si="3623"/>
        <v>1</v>
      </c>
      <c r="FT348" s="103" t="b">
        <f t="shared" si="3624"/>
        <v>0</v>
      </c>
      <c r="FU348" s="103" t="b">
        <f t="shared" si="3625"/>
        <v>0</v>
      </c>
      <c r="FV348" s="103" t="b">
        <f t="shared" si="3626"/>
        <v>1</v>
      </c>
      <c r="FW348" s="104" t="b">
        <f t="shared" si="3637"/>
        <v>0</v>
      </c>
      <c r="FX348" s="120" t="b">
        <f t="shared" si="3814"/>
        <v>1</v>
      </c>
      <c r="FY348" s="104" t="s">
        <v>368</v>
      </c>
      <c r="FZ348" s="104" t="b">
        <f t="shared" si="3815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816"/>
        <v>1</v>
      </c>
      <c r="GI348" s="8" t="b">
        <f t="shared" si="3817"/>
        <v>0</v>
      </c>
      <c r="GJ348" s="31" t="s">
        <v>203</v>
      </c>
    </row>
    <row r="349" spans="1:192" hidden="1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833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834">Q349*FH349</f>
        <v>2084.37</v>
      </c>
      <c r="S349" s="114">
        <v>1177</v>
      </c>
      <c r="T349" s="114">
        <v>2306.92</v>
      </c>
      <c r="U349" s="131">
        <f t="shared" ref="U349:U357" si="3835">IFERROR(ROUNDUP(S349/$EX349,0)*$EY349,0)</f>
        <v>1</v>
      </c>
      <c r="V349" s="115">
        <f t="shared" ref="V349:V358" si="3836">SUM(Z349:AD349)</f>
        <v>7774</v>
      </c>
      <c r="W349" s="115">
        <f t="shared" ref="W349:W357" si="3837">V349*FH349</f>
        <v>15625.739999999998</v>
      </c>
      <c r="X349" s="115">
        <f t="shared" ref="X349:X357" si="3838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39">AA349*FH349</f>
        <v>0</v>
      </c>
      <c r="AF349" s="95">
        <f t="shared" ref="AF349:AF357" si="3840">AB349*FH349</f>
        <v>0</v>
      </c>
      <c r="AG349" s="114">
        <v>0</v>
      </c>
      <c r="AH349" s="95">
        <f t="shared" ref="AH349:AH357" si="3841">V349-AG349</f>
        <v>7774</v>
      </c>
      <c r="AI349" s="114">
        <f t="shared" ref="AI349:AI357" si="3842">IF(AH349&gt;0,AH349*FH349,0)</f>
        <v>15625.739999999998</v>
      </c>
      <c r="AJ349" s="114">
        <f t="shared" ref="AJ349:AJ357" si="3843">CU349</f>
        <v>1286</v>
      </c>
      <c r="AK349" s="114">
        <f t="shared" ref="AK349:AK358" si="3844">SUM(CS349:CU349)</f>
        <v>6244</v>
      </c>
      <c r="AL349" s="114">
        <f t="shared" ref="AL349:AL357" si="3845">SUM(CP349:CU349)</f>
        <v>17810</v>
      </c>
      <c r="AM349" s="114">
        <f t="shared" ref="AM349:AM357" si="3846">SUM(BK349:BP349)</f>
        <v>61568</v>
      </c>
      <c r="AN349" s="133">
        <f t="shared" ref="AN349:AN357" si="3847">IFERROR(S349/BQ349*30,"нет оборота")</f>
        <v>3.4410732848232848</v>
      </c>
      <c r="AO349" s="133" t="str">
        <f t="shared" ref="AO349:AO357" si="3848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49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50">IF(AT349="Да",W349,0)</f>
        <v>0</v>
      </c>
      <c r="AX349" s="138"/>
      <c r="AY349" s="115">
        <f t="shared" ref="AY349:AY357" si="3851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52">BE349*FH349</f>
        <v>0</v>
      </c>
      <c r="BG349" s="32">
        <v>0</v>
      </c>
      <c r="BH349" s="32">
        <f t="shared" ref="BH349:BH357" si="3853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54">IF(COUNTIF(BK349:BP349,"&gt;0")=0,0,SUM(BK349:BP349)/COUNTIF(BK349:BP349,"&gt;0"))</f>
        <v>10261.333333333334</v>
      </c>
      <c r="BR349" s="95">
        <f t="shared" ref="BR349:BR357" si="3855">IF(OR(Q349=0,SUM(BK349:BP349)=0,V349&gt;Q349),V349-BK349,Q349-BK349)</f>
        <v>5431</v>
      </c>
      <c r="BS349" s="133">
        <f t="shared" ref="BS349:BW357" si="3856">BR349-BL349</f>
        <v>-3595</v>
      </c>
      <c r="BT349" s="133">
        <f t="shared" si="3856"/>
        <v>-15128</v>
      </c>
      <c r="BU349" s="133">
        <f t="shared" si="3856"/>
        <v>-29983</v>
      </c>
      <c r="BV349" s="133">
        <f t="shared" si="3856"/>
        <v>-41928</v>
      </c>
      <c r="BW349" s="133">
        <f t="shared" si="3856"/>
        <v>-53794</v>
      </c>
      <c r="BX349" s="133">
        <f t="shared" ref="BX349:CO352" si="3857">BW349-$BQ349</f>
        <v>-64055.333333333336</v>
      </c>
      <c r="BY349" s="133">
        <f t="shared" si="3857"/>
        <v>-74316.666666666672</v>
      </c>
      <c r="BZ349" s="133">
        <f t="shared" si="3857"/>
        <v>-84578</v>
      </c>
      <c r="CA349" s="133">
        <f t="shared" si="3857"/>
        <v>-94839.333333333328</v>
      </c>
      <c r="CB349" s="133">
        <f t="shared" si="3857"/>
        <v>-105100.66666666666</v>
      </c>
      <c r="CC349" s="133">
        <f t="shared" si="3857"/>
        <v>-115361.99999999999</v>
      </c>
      <c r="CD349" s="133">
        <f t="shared" si="3857"/>
        <v>-125623.33333333331</v>
      </c>
      <c r="CE349" s="133">
        <f t="shared" si="3857"/>
        <v>-135884.66666666666</v>
      </c>
      <c r="CF349" s="133">
        <f t="shared" si="3857"/>
        <v>-146146</v>
      </c>
      <c r="CG349" s="133">
        <f t="shared" si="3857"/>
        <v>-156407.33333333334</v>
      </c>
      <c r="CH349" s="133">
        <f t="shared" si="3857"/>
        <v>-166668.66666666669</v>
      </c>
      <c r="CI349" s="133">
        <f t="shared" si="3857"/>
        <v>-176930.00000000003</v>
      </c>
      <c r="CJ349" s="133">
        <f t="shared" si="3857"/>
        <v>-187191.33333333337</v>
      </c>
      <c r="CK349" s="133">
        <f t="shared" si="3857"/>
        <v>-197452.66666666672</v>
      </c>
      <c r="CL349" s="133">
        <f t="shared" si="3857"/>
        <v>-207714.00000000006</v>
      </c>
      <c r="CM349" s="133">
        <f t="shared" si="3857"/>
        <v>-217975.3333333334</v>
      </c>
      <c r="CN349" s="133">
        <f t="shared" si="3857"/>
        <v>-228236.66666666674</v>
      </c>
      <c r="CO349" s="133">
        <f t="shared" si="3857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58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827"/>
        <v>0</v>
      </c>
      <c r="DB349" s="4">
        <f t="shared" si="3828"/>
        <v>0</v>
      </c>
      <c r="DC349" s="4">
        <f t="shared" si="3829"/>
        <v>0</v>
      </c>
      <c r="DD349" s="136">
        <f t="shared" si="3830"/>
        <v>0</v>
      </c>
      <c r="DE349" s="31">
        <v>0</v>
      </c>
      <c r="DG349" s="31">
        <v>0</v>
      </c>
      <c r="DH349" s="48">
        <f t="shared" ref="DH349:DH357" si="3859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60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61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62">IFERROR(ROUNDUP(DS349/$EX349,0)*$EY349,0)</f>
        <v>1</v>
      </c>
      <c r="DV349" s="62">
        <v>1011</v>
      </c>
      <c r="DW349" s="62">
        <v>1984.5911517367456</v>
      </c>
      <c r="DX349" s="62">
        <f t="shared" ref="DX349:DX357" si="3863">$DF349*BK349/30</f>
        <v>0</v>
      </c>
      <c r="DY349" s="62">
        <f t="shared" ref="DY349:DY357" si="3864">DX349*$FH349</f>
        <v>0</v>
      </c>
      <c r="DZ349" s="48">
        <f t="shared" ref="DZ349:DZ357" si="3865">IFERROR(ROUNDUP(DX349/$EX349,0)*$EY349,0)</f>
        <v>0</v>
      </c>
      <c r="EA349" s="62">
        <f t="shared" ref="EA349:EA357" si="3866">$DF349*BL349/30</f>
        <v>0</v>
      </c>
      <c r="EB349" s="62">
        <f t="shared" ref="EB349:EB357" si="3867">EA349*$FH349</f>
        <v>0</v>
      </c>
      <c r="EC349" s="48">
        <f t="shared" ref="EC349:EC357" si="3868">IFERROR(ROUNDUP(EA349/$EX349,0)*$EY349,0)</f>
        <v>0</v>
      </c>
      <c r="ED349" s="62">
        <f t="shared" ref="ED349:ED357" si="3869">$DF349*BM349/30</f>
        <v>0</v>
      </c>
      <c r="EE349" s="62">
        <f t="shared" ref="EE349:EE357" si="3870">ED349*$FH349</f>
        <v>0</v>
      </c>
      <c r="EF349" s="48">
        <f t="shared" ref="EF349:EF357" si="3871">IFERROR(ROUNDUP(ED349/$EX349,0)*$EY349,0)</f>
        <v>0</v>
      </c>
      <c r="EG349" s="62">
        <f t="shared" ref="EG349:EG357" si="3872">$DF349*BN349/30</f>
        <v>0</v>
      </c>
      <c r="EH349" s="62">
        <f t="shared" ref="EH349:EH357" si="3873">EG349*$FH349</f>
        <v>0</v>
      </c>
      <c r="EI349" s="48">
        <f t="shared" ref="EI349:EI357" si="3874">IFERROR(ROUNDUP(EG349/$EX349,0)*$EY349,0)</f>
        <v>0</v>
      </c>
      <c r="EJ349" s="62">
        <f t="shared" ref="EJ349:EJ357" si="3875">$DF349*BO349/30</f>
        <v>0</v>
      </c>
      <c r="EK349" s="62">
        <f t="shared" ref="EK349:EK357" si="3876">EJ349*$FH349</f>
        <v>0</v>
      </c>
      <c r="EL349" s="48">
        <f t="shared" ref="EL349:EL357" si="3877">IFERROR(ROUNDUP(EJ349/$EX349,0)*$EY349,0)</f>
        <v>0</v>
      </c>
      <c r="EM349" s="62">
        <f t="shared" ref="EM349:EM357" si="3878">$DF349*BP349/30</f>
        <v>0</v>
      </c>
      <c r="EN349" s="62">
        <f t="shared" ref="EN349:EN357" si="3879">EM349*$FH349</f>
        <v>0</v>
      </c>
      <c r="EO349" s="48">
        <f t="shared" ref="EO349:EO357" si="3880">IFERROR(ROUNDUP(EM349/$EX349,0)*$EY349,0)</f>
        <v>0</v>
      </c>
      <c r="EP349" s="62">
        <f t="shared" si="3831"/>
        <v>4709.4299999999994</v>
      </c>
      <c r="EQ349" s="62">
        <f t="shared" si="3831"/>
        <v>18142.259999999998</v>
      </c>
      <c r="ER349" s="62">
        <f t="shared" si="3831"/>
        <v>23181.329999999998</v>
      </c>
      <c r="ES349" s="62">
        <f t="shared" si="3832"/>
        <v>29858.549999999996</v>
      </c>
      <c r="ET349" s="62">
        <f t="shared" si="3832"/>
        <v>24009.449999999997</v>
      </c>
      <c r="EU349" s="62">
        <f t="shared" si="3832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81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 t="shared" si="3622"/>
        <v>1</v>
      </c>
      <c r="FS349" s="120" t="b">
        <f t="shared" si="3623"/>
        <v>1</v>
      </c>
      <c r="FT349" s="120" t="b">
        <f t="shared" si="3624"/>
        <v>1</v>
      </c>
      <c r="FU349" s="120" t="b">
        <f t="shared" si="3625"/>
        <v>1</v>
      </c>
      <c r="FV349" s="120" t="b">
        <f t="shared" si="3626"/>
        <v>1</v>
      </c>
      <c r="FW349" s="104" t="b">
        <f t="shared" si="3637"/>
        <v>0</v>
      </c>
      <c r="FX349" s="120" t="b">
        <f t="shared" ref="FX349:FX357" si="3882">EXACT(FQ349,BI349)</f>
        <v>1</v>
      </c>
      <c r="FY349" s="104" t="s">
        <v>368</v>
      </c>
      <c r="FZ349" s="104" t="b">
        <f t="shared" ref="FZ349:FZ357" si="3883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84">EXACT(GD349,C349)</f>
        <v>1</v>
      </c>
      <c r="GI349" s="8" t="b">
        <f t="shared" ref="GI349:GI357" si="3885">EXACT(GG349,G349)</f>
        <v>0</v>
      </c>
      <c r="GJ349" s="31" t="s">
        <v>203</v>
      </c>
    </row>
    <row r="350" spans="1:192" hidden="1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833"/>
        <v>нет минмакс</v>
      </c>
      <c r="Q350" s="95">
        <v>789</v>
      </c>
      <c r="R350" s="95">
        <f t="shared" si="3834"/>
        <v>2295.9900000000002</v>
      </c>
      <c r="S350" s="114">
        <v>789</v>
      </c>
      <c r="T350" s="114">
        <v>2295.9900000000002</v>
      </c>
      <c r="U350" s="131">
        <f t="shared" si="3835"/>
        <v>1</v>
      </c>
      <c r="V350" s="115">
        <f t="shared" si="3836"/>
        <v>201</v>
      </c>
      <c r="W350" s="115">
        <f t="shared" si="3837"/>
        <v>584.91000000000008</v>
      </c>
      <c r="X350" s="115">
        <f t="shared" si="3838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39"/>
        <v>0</v>
      </c>
      <c r="AF350" s="95">
        <f t="shared" si="3840"/>
        <v>0</v>
      </c>
      <c r="AG350" s="114">
        <v>0</v>
      </c>
      <c r="AH350" s="95">
        <f t="shared" si="3841"/>
        <v>201</v>
      </c>
      <c r="AI350" s="114">
        <f t="shared" si="3842"/>
        <v>584.91000000000008</v>
      </c>
      <c r="AJ350" s="114">
        <f t="shared" si="3843"/>
        <v>0</v>
      </c>
      <c r="AK350" s="114">
        <f t="shared" si="3844"/>
        <v>0</v>
      </c>
      <c r="AL350" s="114">
        <f t="shared" si="3845"/>
        <v>3814</v>
      </c>
      <c r="AM350" s="114">
        <f t="shared" si="3846"/>
        <v>4554</v>
      </c>
      <c r="AN350" s="133">
        <f t="shared" si="3847"/>
        <v>20.790513833992094</v>
      </c>
      <c r="AO350" s="133" t="str">
        <f t="shared" si="3848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49"/>
        <v>0-03</v>
      </c>
      <c r="AW350" s="126">
        <f t="shared" si="3850"/>
        <v>0</v>
      </c>
      <c r="AX350" s="138"/>
      <c r="AY350" s="115">
        <f t="shared" si="3851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52"/>
        <v>0</v>
      </c>
      <c r="BG350" s="32">
        <v>0</v>
      </c>
      <c r="BH350" s="32">
        <f t="shared" si="3853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54"/>
        <v>1138.5</v>
      </c>
      <c r="BR350" s="95">
        <f t="shared" si="3855"/>
        <v>222</v>
      </c>
      <c r="BS350" s="133">
        <f t="shared" si="3856"/>
        <v>222</v>
      </c>
      <c r="BT350" s="133">
        <f t="shared" si="3856"/>
        <v>-943</v>
      </c>
      <c r="BU350" s="133">
        <f t="shared" si="3856"/>
        <v>-943</v>
      </c>
      <c r="BV350" s="133">
        <f t="shared" si="3856"/>
        <v>-2337</v>
      </c>
      <c r="BW350" s="133">
        <f t="shared" si="3856"/>
        <v>-3765</v>
      </c>
      <c r="BX350" s="133">
        <f t="shared" si="3857"/>
        <v>-4903.5</v>
      </c>
      <c r="BY350" s="133">
        <f t="shared" si="3857"/>
        <v>-6042</v>
      </c>
      <c r="BZ350" s="133">
        <f t="shared" si="3857"/>
        <v>-7180.5</v>
      </c>
      <c r="CA350" s="133">
        <f t="shared" si="3857"/>
        <v>-8319</v>
      </c>
      <c r="CB350" s="133">
        <f t="shared" si="3857"/>
        <v>-9457.5</v>
      </c>
      <c r="CC350" s="133">
        <f t="shared" si="3857"/>
        <v>-10596</v>
      </c>
      <c r="CD350" s="133">
        <f t="shared" si="3857"/>
        <v>-11734.5</v>
      </c>
      <c r="CE350" s="133">
        <f t="shared" si="3857"/>
        <v>-12873</v>
      </c>
      <c r="CF350" s="133">
        <f t="shared" si="3857"/>
        <v>-14011.5</v>
      </c>
      <c r="CG350" s="133">
        <f t="shared" si="3857"/>
        <v>-15150</v>
      </c>
      <c r="CH350" s="133">
        <f t="shared" si="3857"/>
        <v>-16288.5</v>
      </c>
      <c r="CI350" s="133">
        <f t="shared" si="3857"/>
        <v>-17427</v>
      </c>
      <c r="CJ350" s="133">
        <f t="shared" si="3857"/>
        <v>-18565.5</v>
      </c>
      <c r="CK350" s="133">
        <f t="shared" si="3857"/>
        <v>-19704</v>
      </c>
      <c r="CL350" s="133">
        <f t="shared" si="3857"/>
        <v>-20842.5</v>
      </c>
      <c r="CM350" s="133">
        <f t="shared" si="3857"/>
        <v>-21981</v>
      </c>
      <c r="CN350" s="133">
        <f t="shared" si="3857"/>
        <v>-23119.5</v>
      </c>
      <c r="CO350" s="133">
        <f t="shared" si="3857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58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827"/>
        <v>0</v>
      </c>
      <c r="DB350" s="4">
        <f t="shared" si="3828"/>
        <v>0</v>
      </c>
      <c r="DC350" s="4">
        <f t="shared" si="3829"/>
        <v>0</v>
      </c>
      <c r="DD350" s="136">
        <f t="shared" si="3830"/>
        <v>0</v>
      </c>
      <c r="DE350" s="31">
        <v>0</v>
      </c>
      <c r="DG350" s="31">
        <v>0</v>
      </c>
      <c r="DH350" s="48">
        <f t="shared" si="3859"/>
        <v>0</v>
      </c>
      <c r="DI350" s="62">
        <v>2829.8059999999996</v>
      </c>
      <c r="DJ350" s="62">
        <v>8251.7330000000002</v>
      </c>
      <c r="DK350" s="48">
        <f t="shared" si="3860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61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62"/>
        <v>1</v>
      </c>
      <c r="DV350" s="62">
        <v>0</v>
      </c>
      <c r="DW350" s="62">
        <v>0</v>
      </c>
      <c r="DX350" s="62">
        <f t="shared" si="3863"/>
        <v>0</v>
      </c>
      <c r="DY350" s="62">
        <f t="shared" si="3864"/>
        <v>0</v>
      </c>
      <c r="DZ350" s="48">
        <f t="shared" si="3865"/>
        <v>0</v>
      </c>
      <c r="EA350" s="62">
        <f t="shared" si="3866"/>
        <v>0</v>
      </c>
      <c r="EB350" s="62">
        <f t="shared" si="3867"/>
        <v>0</v>
      </c>
      <c r="EC350" s="48">
        <f t="shared" si="3868"/>
        <v>0</v>
      </c>
      <c r="ED350" s="62">
        <f t="shared" si="3869"/>
        <v>0</v>
      </c>
      <c r="EE350" s="62">
        <f t="shared" si="3870"/>
        <v>0</v>
      </c>
      <c r="EF350" s="48">
        <f t="shared" si="3871"/>
        <v>0</v>
      </c>
      <c r="EG350" s="62">
        <f t="shared" si="3872"/>
        <v>0</v>
      </c>
      <c r="EH350" s="62">
        <f t="shared" si="3873"/>
        <v>0</v>
      </c>
      <c r="EI350" s="48">
        <f t="shared" si="3874"/>
        <v>0</v>
      </c>
      <c r="EJ350" s="62">
        <f t="shared" si="3875"/>
        <v>0</v>
      </c>
      <c r="EK350" s="62">
        <f t="shared" si="3876"/>
        <v>0</v>
      </c>
      <c r="EL350" s="48">
        <f t="shared" si="3877"/>
        <v>0</v>
      </c>
      <c r="EM350" s="62">
        <f t="shared" si="3878"/>
        <v>0</v>
      </c>
      <c r="EN350" s="62">
        <f t="shared" si="3879"/>
        <v>0</v>
      </c>
      <c r="EO350" s="48">
        <f t="shared" si="3880"/>
        <v>0</v>
      </c>
      <c r="EP350" s="62">
        <f t="shared" si="3831"/>
        <v>1649.97</v>
      </c>
      <c r="EQ350" s="62">
        <f t="shared" si="3831"/>
        <v>0</v>
      </c>
      <c r="ER350" s="62">
        <f t="shared" si="3831"/>
        <v>3390.15</v>
      </c>
      <c r="ES350" s="62">
        <f t="shared" si="3832"/>
        <v>0</v>
      </c>
      <c r="ET350" s="62">
        <f t="shared" si="3832"/>
        <v>4056.5400000000004</v>
      </c>
      <c r="EU350" s="62">
        <f t="shared" si="3832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81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 t="shared" si="3622"/>
        <v>1</v>
      </c>
      <c r="FS350" s="120" t="b">
        <f t="shared" si="3623"/>
        <v>1</v>
      </c>
      <c r="FT350" s="120" t="b">
        <f t="shared" si="3624"/>
        <v>1</v>
      </c>
      <c r="FU350" s="120" t="b">
        <f t="shared" si="3625"/>
        <v>1</v>
      </c>
      <c r="FV350" s="120" t="b">
        <f t="shared" si="3626"/>
        <v>1</v>
      </c>
      <c r="FW350" s="104" t="b">
        <f t="shared" si="3637"/>
        <v>0</v>
      </c>
      <c r="FX350" s="120" t="b">
        <f t="shared" si="3882"/>
        <v>1</v>
      </c>
      <c r="FY350" s="104" t="s">
        <v>368</v>
      </c>
      <c r="FZ350" s="104" t="b">
        <f t="shared" si="3883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84"/>
        <v>1</v>
      </c>
      <c r="GI350" s="8" t="b">
        <f t="shared" si="3885"/>
        <v>0</v>
      </c>
      <c r="GJ350" s="31" t="s">
        <v>203</v>
      </c>
    </row>
    <row r="351" spans="1:192" hidden="1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833"/>
        <v>нет минмакс</v>
      </c>
      <c r="Q351" s="95">
        <v>2177</v>
      </c>
      <c r="R351" s="95">
        <f t="shared" si="3834"/>
        <v>10471.369999999999</v>
      </c>
      <c r="S351" s="114">
        <v>484</v>
      </c>
      <c r="T351" s="114">
        <v>2255.44</v>
      </c>
      <c r="U351" s="131">
        <f t="shared" si="3835"/>
        <v>1</v>
      </c>
      <c r="V351" s="115">
        <f t="shared" si="3836"/>
        <v>3477</v>
      </c>
      <c r="W351" s="115">
        <f t="shared" si="3837"/>
        <v>16724.37</v>
      </c>
      <c r="X351" s="115">
        <f t="shared" si="3838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39"/>
        <v>0</v>
      </c>
      <c r="AF351" s="95">
        <f t="shared" si="3840"/>
        <v>0</v>
      </c>
      <c r="AG351" s="114">
        <v>0</v>
      </c>
      <c r="AH351" s="95">
        <f t="shared" si="3841"/>
        <v>3477</v>
      </c>
      <c r="AI351" s="114">
        <f t="shared" si="3842"/>
        <v>16724.37</v>
      </c>
      <c r="AJ351" s="114">
        <f t="shared" si="3843"/>
        <v>2802</v>
      </c>
      <c r="AK351" s="114">
        <f t="shared" si="3844"/>
        <v>12008</v>
      </c>
      <c r="AL351" s="114">
        <f t="shared" si="3845"/>
        <v>22620</v>
      </c>
      <c r="AM351" s="114">
        <f t="shared" si="3846"/>
        <v>30234</v>
      </c>
      <c r="AN351" s="133">
        <f t="shared" si="3847"/>
        <v>2.8815241119269697</v>
      </c>
      <c r="AO351" s="133" t="str">
        <f t="shared" si="3848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49"/>
        <v>0-01</v>
      </c>
      <c r="AW351" s="126">
        <f t="shared" si="3850"/>
        <v>0</v>
      </c>
      <c r="AX351" s="138"/>
      <c r="AY351" s="115">
        <f t="shared" si="3851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52"/>
        <v>0</v>
      </c>
      <c r="BG351" s="32">
        <v>0</v>
      </c>
      <c r="BH351" s="32">
        <f t="shared" si="3853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54"/>
        <v>5039</v>
      </c>
      <c r="BR351" s="95">
        <f t="shared" si="3855"/>
        <v>-808</v>
      </c>
      <c r="BS351" s="133">
        <f t="shared" si="3856"/>
        <v>-5714</v>
      </c>
      <c r="BT351" s="133">
        <f t="shared" si="3856"/>
        <v>-10660</v>
      </c>
      <c r="BU351" s="133">
        <f t="shared" si="3856"/>
        <v>-16005</v>
      </c>
      <c r="BV351" s="133">
        <f t="shared" si="3856"/>
        <v>-21470</v>
      </c>
      <c r="BW351" s="133">
        <f t="shared" si="3856"/>
        <v>-26757</v>
      </c>
      <c r="BX351" s="133">
        <f t="shared" si="3857"/>
        <v>-31796</v>
      </c>
      <c r="BY351" s="133">
        <f t="shared" si="3857"/>
        <v>-36835</v>
      </c>
      <c r="BZ351" s="133">
        <f t="shared" si="3857"/>
        <v>-41874</v>
      </c>
      <c r="CA351" s="133">
        <f t="shared" si="3857"/>
        <v>-46913</v>
      </c>
      <c r="CB351" s="133">
        <f t="shared" si="3857"/>
        <v>-51952</v>
      </c>
      <c r="CC351" s="133">
        <f t="shared" si="3857"/>
        <v>-56991</v>
      </c>
      <c r="CD351" s="133">
        <f t="shared" si="3857"/>
        <v>-62030</v>
      </c>
      <c r="CE351" s="133">
        <f t="shared" si="3857"/>
        <v>-67069</v>
      </c>
      <c r="CF351" s="133">
        <f t="shared" si="3857"/>
        <v>-72108</v>
      </c>
      <c r="CG351" s="133">
        <f t="shared" si="3857"/>
        <v>-77147</v>
      </c>
      <c r="CH351" s="133">
        <f t="shared" si="3857"/>
        <v>-82186</v>
      </c>
      <c r="CI351" s="133">
        <f t="shared" si="3857"/>
        <v>-87225</v>
      </c>
      <c r="CJ351" s="133">
        <f t="shared" si="3857"/>
        <v>-92264</v>
      </c>
      <c r="CK351" s="133">
        <f t="shared" si="3857"/>
        <v>-97303</v>
      </c>
      <c r="CL351" s="133">
        <f t="shared" si="3857"/>
        <v>-102342</v>
      </c>
      <c r="CM351" s="133">
        <f t="shared" si="3857"/>
        <v>-107381</v>
      </c>
      <c r="CN351" s="133">
        <f t="shared" si="3857"/>
        <v>-112420</v>
      </c>
      <c r="CO351" s="133">
        <f t="shared" si="3857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58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827"/>
        <v>0</v>
      </c>
      <c r="DB351" s="4">
        <f t="shared" si="3828"/>
        <v>0</v>
      </c>
      <c r="DC351" s="4">
        <f t="shared" si="3829"/>
        <v>0</v>
      </c>
      <c r="DD351" s="136">
        <f t="shared" si="3830"/>
        <v>0</v>
      </c>
      <c r="DE351" s="31">
        <v>0</v>
      </c>
      <c r="DG351" s="31">
        <v>0</v>
      </c>
      <c r="DH351" s="48">
        <f t="shared" si="3859"/>
        <v>0</v>
      </c>
      <c r="DI351" s="62">
        <v>9813.3220000000001</v>
      </c>
      <c r="DJ351" s="62">
        <v>45733.676999999996</v>
      </c>
      <c r="DK351" s="48">
        <f t="shared" si="3860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61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62"/>
        <v>1</v>
      </c>
      <c r="DV351" s="62">
        <v>3348</v>
      </c>
      <c r="DW351" s="62">
        <v>15602.008815144163</v>
      </c>
      <c r="DX351" s="62">
        <f t="shared" si="3863"/>
        <v>0</v>
      </c>
      <c r="DY351" s="62">
        <f t="shared" si="3864"/>
        <v>0</v>
      </c>
      <c r="DZ351" s="48">
        <f t="shared" si="3865"/>
        <v>0</v>
      </c>
      <c r="EA351" s="62">
        <f t="shared" si="3866"/>
        <v>0</v>
      </c>
      <c r="EB351" s="62">
        <f t="shared" si="3867"/>
        <v>0</v>
      </c>
      <c r="EC351" s="48">
        <f t="shared" si="3868"/>
        <v>0</v>
      </c>
      <c r="ED351" s="62">
        <f t="shared" si="3869"/>
        <v>0</v>
      </c>
      <c r="EE351" s="62">
        <f t="shared" si="3870"/>
        <v>0</v>
      </c>
      <c r="EF351" s="48">
        <f t="shared" si="3871"/>
        <v>0</v>
      </c>
      <c r="EG351" s="62">
        <f t="shared" si="3872"/>
        <v>0</v>
      </c>
      <c r="EH351" s="62">
        <f t="shared" si="3873"/>
        <v>0</v>
      </c>
      <c r="EI351" s="48">
        <f t="shared" si="3874"/>
        <v>0</v>
      </c>
      <c r="EJ351" s="62">
        <f t="shared" si="3875"/>
        <v>0</v>
      </c>
      <c r="EK351" s="62">
        <f t="shared" si="3876"/>
        <v>0</v>
      </c>
      <c r="EL351" s="48">
        <f t="shared" si="3877"/>
        <v>0</v>
      </c>
      <c r="EM351" s="62">
        <f t="shared" si="3878"/>
        <v>0</v>
      </c>
      <c r="EN351" s="62">
        <f t="shared" si="3879"/>
        <v>0</v>
      </c>
      <c r="EO351" s="48">
        <f t="shared" si="3880"/>
        <v>0</v>
      </c>
      <c r="EP351" s="62">
        <f t="shared" si="3831"/>
        <v>20610.849999999999</v>
      </c>
      <c r="EQ351" s="62">
        <f t="shared" si="3831"/>
        <v>23597.859999999997</v>
      </c>
      <c r="ER351" s="62">
        <f t="shared" si="3831"/>
        <v>23790.26</v>
      </c>
      <c r="ES351" s="62">
        <f t="shared" si="3832"/>
        <v>25709.449999999997</v>
      </c>
      <c r="ET351" s="62">
        <f t="shared" si="3832"/>
        <v>26286.649999999998</v>
      </c>
      <c r="EU351" s="62">
        <f t="shared" si="3832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81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 t="shared" si="3622"/>
        <v>1</v>
      </c>
      <c r="FS351" s="120" t="b">
        <f t="shared" si="3623"/>
        <v>1</v>
      </c>
      <c r="FT351" s="120" t="b">
        <f t="shared" si="3624"/>
        <v>1</v>
      </c>
      <c r="FU351" s="120" t="b">
        <f t="shared" si="3625"/>
        <v>1</v>
      </c>
      <c r="FV351" s="120" t="b">
        <f t="shared" si="3626"/>
        <v>1</v>
      </c>
      <c r="FW351" s="104" t="b">
        <f t="shared" si="3637"/>
        <v>0</v>
      </c>
      <c r="FX351" s="120" t="b">
        <f t="shared" si="3882"/>
        <v>1</v>
      </c>
      <c r="FY351" s="104" t="s">
        <v>368</v>
      </c>
      <c r="FZ351" s="104" t="b">
        <f t="shared" si="3883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84"/>
        <v>1</v>
      </c>
      <c r="GI351" s="8" t="b">
        <f t="shared" si="3885"/>
        <v>0</v>
      </c>
      <c r="GJ351" s="31" t="s">
        <v>203</v>
      </c>
    </row>
    <row r="352" spans="1:192" hidden="1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833"/>
        <v>нет минмакс</v>
      </c>
      <c r="Q352" s="95">
        <v>1.7120000123977661</v>
      </c>
      <c r="R352" s="95">
        <f t="shared" si="3834"/>
        <v>258.92288187503817</v>
      </c>
      <c r="S352" s="114">
        <v>12.071999534964561</v>
      </c>
      <c r="T352" s="114">
        <v>2048.8597610741854</v>
      </c>
      <c r="U352" s="131">
        <f t="shared" si="3835"/>
        <v>0</v>
      </c>
      <c r="V352" s="115">
        <f t="shared" si="3836"/>
        <v>0</v>
      </c>
      <c r="W352" s="115">
        <f t="shared" si="3837"/>
        <v>0</v>
      </c>
      <c r="X352" s="115">
        <f t="shared" si="3838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39"/>
        <v>0</v>
      </c>
      <c r="AF352" s="95">
        <f t="shared" si="3840"/>
        <v>0</v>
      </c>
      <c r="AG352" s="114">
        <v>0</v>
      </c>
      <c r="AH352" s="95">
        <f t="shared" si="3841"/>
        <v>0</v>
      </c>
      <c r="AI352" s="114">
        <f t="shared" si="3842"/>
        <v>0</v>
      </c>
      <c r="AJ352" s="114">
        <f t="shared" si="3843"/>
        <v>75596</v>
      </c>
      <c r="AK352" s="114">
        <f t="shared" si="3844"/>
        <v>331055</v>
      </c>
      <c r="AL352" s="114">
        <f t="shared" si="3845"/>
        <v>685637</v>
      </c>
      <c r="AM352" s="114">
        <f t="shared" si="3846"/>
        <v>525953.57999999996</v>
      </c>
      <c r="AN352" s="133">
        <f t="shared" si="3847"/>
        <v>4.131467108358918E-3</v>
      </c>
      <c r="AO352" s="133" t="str">
        <f t="shared" si="3848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49"/>
        <v>нет остатка</v>
      </c>
      <c r="AW352" s="126">
        <f t="shared" si="3850"/>
        <v>0</v>
      </c>
      <c r="AX352" s="138"/>
      <c r="AY352" s="115">
        <f t="shared" si="3851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52"/>
        <v>0</v>
      </c>
      <c r="BG352" s="32">
        <v>0</v>
      </c>
      <c r="BH352" s="32">
        <f t="shared" si="3853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54"/>
        <v>87658.93</v>
      </c>
      <c r="BR352" s="95">
        <f t="shared" si="3855"/>
        <v>-65874.077999987596</v>
      </c>
      <c r="BS352" s="133">
        <f t="shared" si="3856"/>
        <v>-133293.4079999876</v>
      </c>
      <c r="BT352" s="133">
        <f t="shared" si="3856"/>
        <v>-203875.05799998759</v>
      </c>
      <c r="BU352" s="133">
        <f t="shared" si="3856"/>
        <v>-329113.63799998758</v>
      </c>
      <c r="BV352" s="133">
        <f t="shared" si="3856"/>
        <v>-435593.2179999876</v>
      </c>
      <c r="BW352" s="133">
        <f t="shared" si="3856"/>
        <v>-525951.86799998756</v>
      </c>
      <c r="BX352" s="133">
        <f t="shared" si="3857"/>
        <v>-613610.79799998761</v>
      </c>
      <c r="BY352" s="133">
        <f t="shared" si="3857"/>
        <v>-701269.72799998755</v>
      </c>
      <c r="BZ352" s="133">
        <f t="shared" si="3857"/>
        <v>-788928.65799998748</v>
      </c>
      <c r="CA352" s="133">
        <f t="shared" si="3857"/>
        <v>-876587.58799998742</v>
      </c>
      <c r="CB352" s="133">
        <f t="shared" si="3857"/>
        <v>-964246.51799998735</v>
      </c>
      <c r="CC352" s="133">
        <f t="shared" si="3857"/>
        <v>-1051905.4479999873</v>
      </c>
      <c r="CD352" s="133">
        <f t="shared" si="3857"/>
        <v>-1139564.3779999872</v>
      </c>
      <c r="CE352" s="133">
        <f t="shared" si="3857"/>
        <v>-1227223.3079999872</v>
      </c>
      <c r="CF352" s="133">
        <f t="shared" si="3857"/>
        <v>-1314882.2379999871</v>
      </c>
      <c r="CG352" s="133">
        <f t="shared" si="3857"/>
        <v>-1402541.167999987</v>
      </c>
      <c r="CH352" s="133">
        <f t="shared" si="3857"/>
        <v>-1490200.097999987</v>
      </c>
      <c r="CI352" s="133">
        <f t="shared" si="3857"/>
        <v>-1577859.0279999869</v>
      </c>
      <c r="CJ352" s="133">
        <f t="shared" si="3857"/>
        <v>-1665517.9579999868</v>
      </c>
      <c r="CK352" s="133">
        <f t="shared" si="3857"/>
        <v>-1753176.8879999868</v>
      </c>
      <c r="CL352" s="133">
        <f t="shared" si="3857"/>
        <v>-1840835.8179999867</v>
      </c>
      <c r="CM352" s="133">
        <f t="shared" si="3857"/>
        <v>-1928494.7479999866</v>
      </c>
      <c r="CN352" s="133">
        <f t="shared" si="3857"/>
        <v>-2016153.6779999866</v>
      </c>
      <c r="CO352" s="133">
        <f t="shared" si="3857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58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827"/>
        <v>0</v>
      </c>
      <c r="DB352" s="4">
        <f t="shared" si="3828"/>
        <v>0</v>
      </c>
      <c r="DC352" s="4">
        <f t="shared" si="3829"/>
        <v>0</v>
      </c>
      <c r="DD352" s="136">
        <f t="shared" si="3830"/>
        <v>0</v>
      </c>
      <c r="DE352" s="31">
        <v>0</v>
      </c>
      <c r="DG352" s="31">
        <v>0</v>
      </c>
      <c r="DH352" s="48">
        <f t="shared" si="3859"/>
        <v>0</v>
      </c>
      <c r="DI352" s="62">
        <v>61.713000000000001</v>
      </c>
      <c r="DJ352" s="62">
        <v>9952.8040000000001</v>
      </c>
      <c r="DK352" s="48">
        <f t="shared" si="3860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61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62"/>
        <v>0</v>
      </c>
      <c r="DV352" s="62">
        <v>88811.936999999991</v>
      </c>
      <c r="DW352" s="62">
        <v>15039873.641238431</v>
      </c>
      <c r="DX352" s="62">
        <f t="shared" si="3863"/>
        <v>0</v>
      </c>
      <c r="DY352" s="62">
        <f t="shared" si="3864"/>
        <v>0</v>
      </c>
      <c r="DZ352" s="48">
        <f t="shared" si="3865"/>
        <v>0</v>
      </c>
      <c r="EA352" s="62">
        <f t="shared" si="3866"/>
        <v>0</v>
      </c>
      <c r="EB352" s="62">
        <f t="shared" si="3867"/>
        <v>0</v>
      </c>
      <c r="EC352" s="48">
        <f t="shared" si="3868"/>
        <v>0</v>
      </c>
      <c r="ED352" s="62">
        <f t="shared" si="3869"/>
        <v>0</v>
      </c>
      <c r="EE352" s="62">
        <f t="shared" si="3870"/>
        <v>0</v>
      </c>
      <c r="EF352" s="48">
        <f t="shared" si="3871"/>
        <v>0</v>
      </c>
      <c r="EG352" s="62">
        <f t="shared" si="3872"/>
        <v>0</v>
      </c>
      <c r="EH352" s="62">
        <f t="shared" si="3873"/>
        <v>0</v>
      </c>
      <c r="EI352" s="48">
        <f t="shared" si="3874"/>
        <v>0</v>
      </c>
      <c r="EJ352" s="62">
        <f t="shared" si="3875"/>
        <v>0</v>
      </c>
      <c r="EK352" s="62">
        <f t="shared" si="3876"/>
        <v>0</v>
      </c>
      <c r="EL352" s="48">
        <f t="shared" si="3877"/>
        <v>0</v>
      </c>
      <c r="EM352" s="62">
        <f t="shared" si="3878"/>
        <v>0</v>
      </c>
      <c r="EN352" s="62">
        <f t="shared" si="3879"/>
        <v>0</v>
      </c>
      <c r="EO352" s="48">
        <f t="shared" si="3880"/>
        <v>0</v>
      </c>
      <c r="EP352" s="62">
        <f t="shared" si="3831"/>
        <v>9963054.4795999993</v>
      </c>
      <c r="EQ352" s="62">
        <f t="shared" si="3831"/>
        <v>10196499.4692</v>
      </c>
      <c r="ER352" s="62">
        <f t="shared" si="3831"/>
        <v>10674768.745999999</v>
      </c>
      <c r="ES352" s="62">
        <f t="shared" si="3832"/>
        <v>18941082.839200001</v>
      </c>
      <c r="ET352" s="62">
        <f t="shared" si="3832"/>
        <v>16103971.679200001</v>
      </c>
      <c r="EU352" s="62">
        <f t="shared" si="3832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81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 t="shared" si="3622"/>
        <v>1</v>
      </c>
      <c r="FS352" s="120" t="b">
        <f t="shared" si="3623"/>
        <v>1</v>
      </c>
      <c r="FT352" s="120" t="b">
        <f t="shared" si="3624"/>
        <v>1</v>
      </c>
      <c r="FU352" s="120" t="b">
        <f t="shared" si="3625"/>
        <v>1</v>
      </c>
      <c r="FV352" s="120" t="b">
        <f t="shared" si="3626"/>
        <v>1</v>
      </c>
      <c r="FW352" s="104" t="b">
        <f t="shared" si="3637"/>
        <v>0</v>
      </c>
      <c r="FX352" s="120" t="b">
        <f t="shared" si="3882"/>
        <v>1</v>
      </c>
      <c r="FY352" s="104" t="s">
        <v>368</v>
      </c>
      <c r="FZ352" s="104" t="b">
        <f t="shared" si="3883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84"/>
        <v>1</v>
      </c>
      <c r="GI352" s="8" t="b">
        <f t="shared" si="3885"/>
        <v>0</v>
      </c>
      <c r="GJ352" s="31" t="s">
        <v>203</v>
      </c>
    </row>
    <row r="353" spans="1:193" ht="30" hidden="1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833"/>
        <v>нет минмакс</v>
      </c>
      <c r="Q353" s="95">
        <v>38</v>
      </c>
      <c r="R353" s="95">
        <f t="shared" si="3834"/>
        <v>1772.32</v>
      </c>
      <c r="S353" s="114">
        <v>38</v>
      </c>
      <c r="T353" s="114">
        <v>1772.32</v>
      </c>
      <c r="U353" s="131">
        <f t="shared" si="3835"/>
        <v>1</v>
      </c>
      <c r="V353" s="115">
        <f t="shared" si="3836"/>
        <v>38</v>
      </c>
      <c r="W353" s="115">
        <f t="shared" si="3837"/>
        <v>1772.32</v>
      </c>
      <c r="X353" s="115">
        <f t="shared" si="3838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39"/>
        <v>0</v>
      </c>
      <c r="AF353" s="95">
        <f t="shared" si="3840"/>
        <v>0</v>
      </c>
      <c r="AG353" s="114">
        <v>0</v>
      </c>
      <c r="AH353" s="95">
        <f t="shared" si="3841"/>
        <v>38</v>
      </c>
      <c r="AI353" s="114">
        <f t="shared" si="3842"/>
        <v>1772.32</v>
      </c>
      <c r="AJ353" s="114">
        <f t="shared" si="3843"/>
        <v>0</v>
      </c>
      <c r="AK353" s="114">
        <f t="shared" si="3844"/>
        <v>2</v>
      </c>
      <c r="AL353" s="114">
        <f t="shared" si="3845"/>
        <v>2</v>
      </c>
      <c r="AM353" s="114">
        <f t="shared" si="3846"/>
        <v>0</v>
      </c>
      <c r="AN353" s="133" t="str">
        <f t="shared" si="3847"/>
        <v>нет оборота</v>
      </c>
      <c r="AO353" s="133" t="str">
        <f t="shared" si="3848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49"/>
        <v>Нет планов</v>
      </c>
      <c r="AW353" s="126">
        <f t="shared" si="3850"/>
        <v>1772.32</v>
      </c>
      <c r="AX353" s="138"/>
      <c r="AY353" s="115">
        <f t="shared" si="3851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52"/>
        <v>1772.32</v>
      </c>
      <c r="BG353" s="32">
        <v>0</v>
      </c>
      <c r="BH353" s="32">
        <f t="shared" si="3853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54"/>
        <v>0</v>
      </c>
      <c r="BR353" s="95">
        <f t="shared" si="3855"/>
        <v>38</v>
      </c>
      <c r="BS353" s="133">
        <f t="shared" si="3856"/>
        <v>38</v>
      </c>
      <c r="BT353" s="133">
        <f t="shared" si="3856"/>
        <v>38</v>
      </c>
      <c r="BU353" s="133">
        <f t="shared" si="3856"/>
        <v>38</v>
      </c>
      <c r="BV353" s="133">
        <f t="shared" si="3856"/>
        <v>38</v>
      </c>
      <c r="BW353" s="133">
        <f t="shared" si="3856"/>
        <v>38</v>
      </c>
      <c r="BX353" s="133">
        <f t="shared" ref="BX353:CO354" si="3886">BW353-$BQ353</f>
        <v>38</v>
      </c>
      <c r="BY353" s="133">
        <f t="shared" si="3886"/>
        <v>38</v>
      </c>
      <c r="BZ353" s="133">
        <f t="shared" si="3886"/>
        <v>38</v>
      </c>
      <c r="CA353" s="133">
        <f t="shared" si="3886"/>
        <v>38</v>
      </c>
      <c r="CB353" s="133">
        <f t="shared" si="3886"/>
        <v>38</v>
      </c>
      <c r="CC353" s="133">
        <f t="shared" si="3886"/>
        <v>38</v>
      </c>
      <c r="CD353" s="133">
        <f t="shared" si="3886"/>
        <v>38</v>
      </c>
      <c r="CE353" s="133">
        <f t="shared" si="3886"/>
        <v>38</v>
      </c>
      <c r="CF353" s="133">
        <f t="shared" si="3886"/>
        <v>38</v>
      </c>
      <c r="CG353" s="133">
        <f t="shared" si="3886"/>
        <v>38</v>
      </c>
      <c r="CH353" s="133">
        <f t="shared" si="3886"/>
        <v>38</v>
      </c>
      <c r="CI353" s="133">
        <f t="shared" si="3886"/>
        <v>38</v>
      </c>
      <c r="CJ353" s="133">
        <f t="shared" si="3886"/>
        <v>38</v>
      </c>
      <c r="CK353" s="133">
        <f t="shared" si="3886"/>
        <v>38</v>
      </c>
      <c r="CL353" s="133">
        <f t="shared" si="3886"/>
        <v>38</v>
      </c>
      <c r="CM353" s="133">
        <f t="shared" si="3886"/>
        <v>38</v>
      </c>
      <c r="CN353" s="133">
        <f t="shared" si="3886"/>
        <v>38</v>
      </c>
      <c r="CO353" s="133">
        <f t="shared" si="3886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58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827"/>
        <v>0</v>
      </c>
      <c r="DB353" s="4">
        <f t="shared" si="3828"/>
        <v>0</v>
      </c>
      <c r="DC353" s="4">
        <f t="shared" si="3829"/>
        <v>0</v>
      </c>
      <c r="DD353" s="136">
        <f t="shared" si="3830"/>
        <v>0</v>
      </c>
      <c r="DE353" s="31">
        <v>0</v>
      </c>
      <c r="DG353" s="31">
        <v>0</v>
      </c>
      <c r="DH353" s="48">
        <f t="shared" si="3859"/>
        <v>0</v>
      </c>
      <c r="DI353" s="62">
        <v>40</v>
      </c>
      <c r="DJ353" s="62">
        <v>1865.64</v>
      </c>
      <c r="DK353" s="48">
        <f t="shared" si="3860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61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62"/>
        <v>1</v>
      </c>
      <c r="DV353" s="62">
        <v>2</v>
      </c>
      <c r="DW353" s="62">
        <v>93.282000000000011</v>
      </c>
      <c r="DX353" s="62">
        <f t="shared" si="3863"/>
        <v>0</v>
      </c>
      <c r="DY353" s="62">
        <f t="shared" si="3864"/>
        <v>0</v>
      </c>
      <c r="DZ353" s="48">
        <f t="shared" si="3865"/>
        <v>0</v>
      </c>
      <c r="EA353" s="62">
        <f t="shared" si="3866"/>
        <v>0</v>
      </c>
      <c r="EB353" s="62">
        <f t="shared" si="3867"/>
        <v>0</v>
      </c>
      <c r="EC353" s="48">
        <f t="shared" si="3868"/>
        <v>0</v>
      </c>
      <c r="ED353" s="62">
        <f t="shared" si="3869"/>
        <v>0</v>
      </c>
      <c r="EE353" s="62">
        <f t="shared" si="3870"/>
        <v>0</v>
      </c>
      <c r="EF353" s="48">
        <f t="shared" si="3871"/>
        <v>0</v>
      </c>
      <c r="EG353" s="62">
        <f t="shared" si="3872"/>
        <v>0</v>
      </c>
      <c r="EH353" s="62">
        <f t="shared" si="3873"/>
        <v>0</v>
      </c>
      <c r="EI353" s="48">
        <f t="shared" si="3874"/>
        <v>0</v>
      </c>
      <c r="EJ353" s="62">
        <f t="shared" si="3875"/>
        <v>0</v>
      </c>
      <c r="EK353" s="62">
        <f t="shared" si="3876"/>
        <v>0</v>
      </c>
      <c r="EL353" s="48">
        <f t="shared" si="3877"/>
        <v>0</v>
      </c>
      <c r="EM353" s="62">
        <f t="shared" si="3878"/>
        <v>0</v>
      </c>
      <c r="EN353" s="62">
        <f t="shared" si="3879"/>
        <v>0</v>
      </c>
      <c r="EO353" s="48">
        <f t="shared" si="3880"/>
        <v>0</v>
      </c>
      <c r="EP353" s="62">
        <f t="shared" si="3831"/>
        <v>0</v>
      </c>
      <c r="EQ353" s="62">
        <f t="shared" si="3831"/>
        <v>0</v>
      </c>
      <c r="ER353" s="62">
        <f t="shared" si="3831"/>
        <v>0</v>
      </c>
      <c r="ES353" s="62">
        <f t="shared" si="3832"/>
        <v>0</v>
      </c>
      <c r="ET353" s="62">
        <f t="shared" si="3832"/>
        <v>0</v>
      </c>
      <c r="EU353" s="62">
        <f t="shared" si="3832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81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 t="shared" si="3622"/>
        <v>1</v>
      </c>
      <c r="FS353" s="120" t="b">
        <f t="shared" si="3623"/>
        <v>1</v>
      </c>
      <c r="FT353" s="120" t="b">
        <f t="shared" si="3624"/>
        <v>1</v>
      </c>
      <c r="FU353" s="120" t="b">
        <f t="shared" si="3625"/>
        <v>1</v>
      </c>
      <c r="FV353" s="120" t="b">
        <f t="shared" si="3626"/>
        <v>1</v>
      </c>
      <c r="FW353" s="104" t="b">
        <f t="shared" si="3637"/>
        <v>0</v>
      </c>
      <c r="FX353" s="120" t="b">
        <f t="shared" si="3882"/>
        <v>1</v>
      </c>
      <c r="FY353" s="104" t="s">
        <v>368</v>
      </c>
      <c r="FZ353" s="104" t="b">
        <f t="shared" si="3883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84"/>
        <v>1</v>
      </c>
      <c r="GI353" s="8" t="b">
        <f t="shared" si="3885"/>
        <v>0</v>
      </c>
      <c r="GJ353" s="31" t="s">
        <v>203</v>
      </c>
    </row>
    <row r="354" spans="1:193" hidden="1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833"/>
        <v>нет минмакс</v>
      </c>
      <c r="Q354" s="95">
        <v>1538</v>
      </c>
      <c r="R354" s="95">
        <f t="shared" si="3834"/>
        <v>3260.56</v>
      </c>
      <c r="S354" s="114">
        <v>770</v>
      </c>
      <c r="T354" s="114">
        <v>1547.6999999999998</v>
      </c>
      <c r="U354" s="131">
        <f t="shared" si="3835"/>
        <v>1</v>
      </c>
      <c r="V354" s="115">
        <f t="shared" si="3836"/>
        <v>10742</v>
      </c>
      <c r="W354" s="115">
        <f t="shared" si="3837"/>
        <v>22773.040000000001</v>
      </c>
      <c r="X354" s="115">
        <f t="shared" si="3838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39"/>
        <v>0</v>
      </c>
      <c r="AF354" s="95">
        <f t="shared" si="3840"/>
        <v>0</v>
      </c>
      <c r="AG354" s="114">
        <v>0</v>
      </c>
      <c r="AH354" s="95">
        <f t="shared" si="3841"/>
        <v>10742</v>
      </c>
      <c r="AI354" s="114">
        <f t="shared" si="3842"/>
        <v>22773.040000000001</v>
      </c>
      <c r="AJ354" s="114">
        <f t="shared" si="3843"/>
        <v>2162</v>
      </c>
      <c r="AK354" s="114">
        <f t="shared" si="3844"/>
        <v>8367</v>
      </c>
      <c r="AL354" s="114">
        <f t="shared" si="3845"/>
        <v>21003</v>
      </c>
      <c r="AM354" s="114">
        <f t="shared" si="3846"/>
        <v>46890</v>
      </c>
      <c r="AN354" s="133">
        <f t="shared" si="3847"/>
        <v>2.9558541266794625</v>
      </c>
      <c r="AO354" s="133" t="str">
        <f t="shared" si="3848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49"/>
        <v>0-03</v>
      </c>
      <c r="AW354" s="126">
        <f t="shared" si="3850"/>
        <v>0</v>
      </c>
      <c r="AX354" s="138"/>
      <c r="AY354" s="115">
        <f t="shared" si="3851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52"/>
        <v>0</v>
      </c>
      <c r="BG354" s="32">
        <v>0</v>
      </c>
      <c r="BH354" s="32">
        <f t="shared" si="3853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54"/>
        <v>7815</v>
      </c>
      <c r="BR354" s="95">
        <f t="shared" si="3855"/>
        <v>8969</v>
      </c>
      <c r="BS354" s="133">
        <f t="shared" si="3856"/>
        <v>2371</v>
      </c>
      <c r="BT354" s="133">
        <f t="shared" si="3856"/>
        <v>-4887</v>
      </c>
      <c r="BU354" s="133">
        <f t="shared" si="3856"/>
        <v>-12951</v>
      </c>
      <c r="BV354" s="133">
        <f t="shared" si="3856"/>
        <v>-24258</v>
      </c>
      <c r="BW354" s="133">
        <f t="shared" si="3856"/>
        <v>-36148</v>
      </c>
      <c r="BX354" s="133">
        <f t="shared" si="3886"/>
        <v>-43963</v>
      </c>
      <c r="BY354" s="133">
        <f t="shared" si="3886"/>
        <v>-51778</v>
      </c>
      <c r="BZ354" s="133">
        <f t="shared" si="3886"/>
        <v>-59593</v>
      </c>
      <c r="CA354" s="133">
        <f t="shared" si="3886"/>
        <v>-67408</v>
      </c>
      <c r="CB354" s="133">
        <f t="shared" si="3886"/>
        <v>-75223</v>
      </c>
      <c r="CC354" s="133">
        <f t="shared" si="3886"/>
        <v>-83038</v>
      </c>
      <c r="CD354" s="133">
        <f t="shared" si="3886"/>
        <v>-90853</v>
      </c>
      <c r="CE354" s="133">
        <f t="shared" si="3886"/>
        <v>-98668</v>
      </c>
      <c r="CF354" s="133">
        <f t="shared" si="3886"/>
        <v>-106483</v>
      </c>
      <c r="CG354" s="133">
        <f t="shared" si="3886"/>
        <v>-114298</v>
      </c>
      <c r="CH354" s="133">
        <f t="shared" si="3886"/>
        <v>-122113</v>
      </c>
      <c r="CI354" s="133">
        <f t="shared" si="3886"/>
        <v>-129928</v>
      </c>
      <c r="CJ354" s="133">
        <f t="shared" si="3886"/>
        <v>-137743</v>
      </c>
      <c r="CK354" s="133">
        <f t="shared" si="3886"/>
        <v>-145558</v>
      </c>
      <c r="CL354" s="133">
        <f t="shared" si="3886"/>
        <v>-153373</v>
      </c>
      <c r="CM354" s="133">
        <f t="shared" si="3886"/>
        <v>-161188</v>
      </c>
      <c r="CN354" s="133">
        <f t="shared" si="3886"/>
        <v>-169003</v>
      </c>
      <c r="CO354" s="133">
        <f t="shared" si="3886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58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827"/>
        <v>0</v>
      </c>
      <c r="DB354" s="4">
        <f t="shared" si="3828"/>
        <v>0</v>
      </c>
      <c r="DC354" s="4">
        <f t="shared" si="3829"/>
        <v>0</v>
      </c>
      <c r="DD354" s="136">
        <f t="shared" si="3830"/>
        <v>0</v>
      </c>
      <c r="DE354" s="31">
        <v>0</v>
      </c>
      <c r="DG354" s="31">
        <v>0</v>
      </c>
      <c r="DH354" s="48">
        <f t="shared" si="3859"/>
        <v>0</v>
      </c>
      <c r="DI354" s="62">
        <v>1908.3220000000001</v>
      </c>
      <c r="DJ354" s="62">
        <v>3724.308</v>
      </c>
      <c r="DK354" s="48">
        <f t="shared" si="3860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61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62"/>
        <v>1</v>
      </c>
      <c r="DV354" s="62">
        <v>1135</v>
      </c>
      <c r="DW354" s="62">
        <v>2261.7767804186656</v>
      </c>
      <c r="DX354" s="62">
        <f t="shared" si="3863"/>
        <v>0</v>
      </c>
      <c r="DY354" s="62">
        <f t="shared" si="3864"/>
        <v>0</v>
      </c>
      <c r="DZ354" s="48">
        <f t="shared" si="3865"/>
        <v>0</v>
      </c>
      <c r="EA354" s="62">
        <f t="shared" si="3866"/>
        <v>0</v>
      </c>
      <c r="EB354" s="62">
        <f t="shared" si="3867"/>
        <v>0</v>
      </c>
      <c r="EC354" s="48">
        <f t="shared" si="3868"/>
        <v>0</v>
      </c>
      <c r="ED354" s="62">
        <f t="shared" si="3869"/>
        <v>0</v>
      </c>
      <c r="EE354" s="62">
        <f t="shared" si="3870"/>
        <v>0</v>
      </c>
      <c r="EF354" s="48">
        <f t="shared" si="3871"/>
        <v>0</v>
      </c>
      <c r="EG354" s="62">
        <f t="shared" si="3872"/>
        <v>0</v>
      </c>
      <c r="EH354" s="62">
        <f t="shared" si="3873"/>
        <v>0</v>
      </c>
      <c r="EI354" s="48">
        <f t="shared" si="3874"/>
        <v>0</v>
      </c>
      <c r="EJ354" s="62">
        <f t="shared" si="3875"/>
        <v>0</v>
      </c>
      <c r="EK354" s="62">
        <f t="shared" si="3876"/>
        <v>0</v>
      </c>
      <c r="EL354" s="48">
        <f t="shared" si="3877"/>
        <v>0</v>
      </c>
      <c r="EM354" s="62">
        <f t="shared" si="3878"/>
        <v>0</v>
      </c>
      <c r="EN354" s="62">
        <f t="shared" si="3879"/>
        <v>0</v>
      </c>
      <c r="EO354" s="48">
        <f t="shared" si="3880"/>
        <v>0</v>
      </c>
      <c r="EP354" s="62">
        <f t="shared" si="3831"/>
        <v>3758.76</v>
      </c>
      <c r="EQ354" s="62">
        <f t="shared" si="3831"/>
        <v>13987.76</v>
      </c>
      <c r="ER354" s="62">
        <f t="shared" si="3831"/>
        <v>15386.960000000001</v>
      </c>
      <c r="ES354" s="62">
        <f t="shared" si="3832"/>
        <v>17095.68</v>
      </c>
      <c r="ET354" s="62">
        <f t="shared" si="3832"/>
        <v>23970.84</v>
      </c>
      <c r="EU354" s="62">
        <f t="shared" si="3832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81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 t="shared" si="3622"/>
        <v>1</v>
      </c>
      <c r="FS354" s="120" t="b">
        <f t="shared" si="3623"/>
        <v>1</v>
      </c>
      <c r="FT354" s="120" t="b">
        <f t="shared" si="3624"/>
        <v>1</v>
      </c>
      <c r="FU354" s="120" t="b">
        <f t="shared" si="3625"/>
        <v>1</v>
      </c>
      <c r="FV354" s="120" t="b">
        <f t="shared" si="3626"/>
        <v>1</v>
      </c>
      <c r="FW354" s="104" t="b">
        <f t="shared" si="3637"/>
        <v>0</v>
      </c>
      <c r="FX354" s="120" t="b">
        <f t="shared" si="3882"/>
        <v>1</v>
      </c>
      <c r="FY354" s="104" t="s">
        <v>368</v>
      </c>
      <c r="FZ354" s="104" t="b">
        <f t="shared" si="3883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84"/>
        <v>1</v>
      </c>
      <c r="GI354" s="8" t="b">
        <f t="shared" si="3885"/>
        <v>0</v>
      </c>
      <c r="GJ354" s="31" t="s">
        <v>203</v>
      </c>
    </row>
    <row r="355" spans="1:193" ht="60" hidden="1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833"/>
        <v>нет минмакс</v>
      </c>
      <c r="Q355" s="95">
        <v>9391</v>
      </c>
      <c r="R355" s="95">
        <f t="shared" si="3834"/>
        <v>93.91</v>
      </c>
      <c r="S355" s="131">
        <v>141129</v>
      </c>
      <c r="T355" s="131">
        <v>1411.29</v>
      </c>
      <c r="U355" s="131">
        <f t="shared" si="3835"/>
        <v>0</v>
      </c>
      <c r="V355" s="113">
        <f t="shared" si="3836"/>
        <v>8468</v>
      </c>
      <c r="W355" s="113">
        <f t="shared" si="3837"/>
        <v>84.68</v>
      </c>
      <c r="X355" s="113">
        <f t="shared" si="3838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39"/>
        <v>0</v>
      </c>
      <c r="AF355" s="95">
        <f t="shared" si="3840"/>
        <v>2.8000000000000003</v>
      </c>
      <c r="AG355" s="114">
        <v>0</v>
      </c>
      <c r="AH355" s="95">
        <f t="shared" si="3841"/>
        <v>8468</v>
      </c>
      <c r="AI355" s="114">
        <f t="shared" si="3842"/>
        <v>84.68</v>
      </c>
      <c r="AJ355" s="133">
        <f t="shared" si="3843"/>
        <v>11241</v>
      </c>
      <c r="AK355" s="133">
        <f t="shared" si="3844"/>
        <v>36031</v>
      </c>
      <c r="AL355" s="133">
        <f t="shared" si="3845"/>
        <v>114588</v>
      </c>
      <c r="AM355" s="133">
        <f t="shared" si="3846"/>
        <v>0</v>
      </c>
      <c r="AN355" s="133" t="str">
        <f t="shared" si="3847"/>
        <v>нет оборота</v>
      </c>
      <c r="AO355" s="133" t="str">
        <f t="shared" si="3848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49"/>
        <v>Нет планов</v>
      </c>
      <c r="AW355" s="117">
        <f t="shared" si="3850"/>
        <v>84.68</v>
      </c>
      <c r="AX355" s="14">
        <f>MONTH(BC355)-6</f>
        <v>0</v>
      </c>
      <c r="AY355" s="25">
        <f t="shared" si="3851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52"/>
        <v>0</v>
      </c>
      <c r="BG355" s="32">
        <v>0</v>
      </c>
      <c r="BH355" s="32">
        <f t="shared" si="3853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54"/>
        <v>0</v>
      </c>
      <c r="BR355" s="95">
        <f t="shared" si="3855"/>
        <v>8468</v>
      </c>
      <c r="BS355" s="133">
        <f t="shared" si="3856"/>
        <v>8468</v>
      </c>
      <c r="BT355" s="133">
        <f t="shared" si="3856"/>
        <v>8468</v>
      </c>
      <c r="BU355" s="133">
        <f t="shared" si="3856"/>
        <v>8468</v>
      </c>
      <c r="BV355" s="133">
        <f t="shared" si="3856"/>
        <v>8468</v>
      </c>
      <c r="BW355" s="133">
        <f t="shared" si="3856"/>
        <v>8468</v>
      </c>
      <c r="BX355" s="133">
        <f t="shared" ref="BX355:CO357" si="3887">BW355-$BQ355</f>
        <v>8468</v>
      </c>
      <c r="BY355" s="133">
        <f t="shared" si="3887"/>
        <v>8468</v>
      </c>
      <c r="BZ355" s="133">
        <f t="shared" si="3887"/>
        <v>8468</v>
      </c>
      <c r="CA355" s="133">
        <f t="shared" si="3887"/>
        <v>8468</v>
      </c>
      <c r="CB355" s="133">
        <f t="shared" si="3887"/>
        <v>8468</v>
      </c>
      <c r="CC355" s="133">
        <f t="shared" si="3887"/>
        <v>8468</v>
      </c>
      <c r="CD355" s="133">
        <f t="shared" si="3887"/>
        <v>8468</v>
      </c>
      <c r="CE355" s="133">
        <f t="shared" si="3887"/>
        <v>8468</v>
      </c>
      <c r="CF355" s="133">
        <f t="shared" si="3887"/>
        <v>8468</v>
      </c>
      <c r="CG355" s="133">
        <f t="shared" si="3887"/>
        <v>8468</v>
      </c>
      <c r="CH355" s="133">
        <f t="shared" si="3887"/>
        <v>8468</v>
      </c>
      <c r="CI355" s="133">
        <f t="shared" si="3887"/>
        <v>8468</v>
      </c>
      <c r="CJ355" s="133">
        <f t="shared" si="3887"/>
        <v>8468</v>
      </c>
      <c r="CK355" s="133">
        <f t="shared" si="3887"/>
        <v>8468</v>
      </c>
      <c r="CL355" s="133">
        <f t="shared" si="3887"/>
        <v>8468</v>
      </c>
      <c r="CM355" s="133">
        <f t="shared" si="3887"/>
        <v>8468</v>
      </c>
      <c r="CN355" s="133">
        <f t="shared" si="3887"/>
        <v>8468</v>
      </c>
      <c r="CO355" s="133">
        <f t="shared" si="3887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58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827"/>
        <v>0</v>
      </c>
      <c r="DB355" s="4">
        <f t="shared" si="3828"/>
        <v>0</v>
      </c>
      <c r="DC355" s="4">
        <f t="shared" si="3829"/>
        <v>0</v>
      </c>
      <c r="DD355" s="136">
        <f t="shared" si="3830"/>
        <v>0</v>
      </c>
      <c r="DE355" s="31">
        <v>0</v>
      </c>
      <c r="DF355" s="31">
        <v>30</v>
      </c>
      <c r="DG355" s="31">
        <v>107922</v>
      </c>
      <c r="DH355" s="48">
        <f t="shared" si="3859"/>
        <v>0</v>
      </c>
      <c r="DI355" s="62">
        <v>157913.71</v>
      </c>
      <c r="DJ355" s="62">
        <v>1579.1380000000001</v>
      </c>
      <c r="DK355" s="48">
        <f t="shared" si="3860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61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62"/>
        <v>0</v>
      </c>
      <c r="DV355" s="62">
        <v>11483</v>
      </c>
      <c r="DW355" s="62">
        <v>114.82999999999998</v>
      </c>
      <c r="DX355" s="62">
        <f t="shared" si="3863"/>
        <v>0</v>
      </c>
      <c r="DY355" s="62">
        <f t="shared" si="3864"/>
        <v>0</v>
      </c>
      <c r="DZ355" s="48">
        <f t="shared" si="3865"/>
        <v>0</v>
      </c>
      <c r="EA355" s="62">
        <f t="shared" si="3866"/>
        <v>0</v>
      </c>
      <c r="EB355" s="62">
        <f t="shared" si="3867"/>
        <v>0</v>
      </c>
      <c r="EC355" s="48">
        <f t="shared" si="3868"/>
        <v>0</v>
      </c>
      <c r="ED355" s="62">
        <f t="shared" si="3869"/>
        <v>0</v>
      </c>
      <c r="EE355" s="62">
        <f t="shared" si="3870"/>
        <v>0</v>
      </c>
      <c r="EF355" s="48">
        <f t="shared" si="3871"/>
        <v>0</v>
      </c>
      <c r="EG355" s="62">
        <f t="shared" si="3872"/>
        <v>0</v>
      </c>
      <c r="EH355" s="62">
        <f t="shared" si="3873"/>
        <v>0</v>
      </c>
      <c r="EI355" s="48">
        <f t="shared" si="3874"/>
        <v>0</v>
      </c>
      <c r="EJ355" s="62">
        <f t="shared" si="3875"/>
        <v>0</v>
      </c>
      <c r="EK355" s="62">
        <f t="shared" si="3876"/>
        <v>0</v>
      </c>
      <c r="EL355" s="48">
        <f t="shared" si="3877"/>
        <v>0</v>
      </c>
      <c r="EM355" s="62">
        <f t="shared" si="3878"/>
        <v>0</v>
      </c>
      <c r="EN355" s="62">
        <f t="shared" si="3879"/>
        <v>0</v>
      </c>
      <c r="EO355" s="48">
        <f t="shared" si="3880"/>
        <v>0</v>
      </c>
      <c r="EP355" s="62">
        <f t="shared" ref="EP355:EU358" si="3888">BK355*$FH355</f>
        <v>0</v>
      </c>
      <c r="EQ355" s="62">
        <f t="shared" si="3888"/>
        <v>0</v>
      </c>
      <c r="ER355" s="62">
        <f t="shared" si="3888"/>
        <v>0</v>
      </c>
      <c r="ES355" s="62">
        <f t="shared" si="3888"/>
        <v>0</v>
      </c>
      <c r="ET355" s="62">
        <f t="shared" si="3888"/>
        <v>0</v>
      </c>
      <c r="EU355" s="62">
        <f t="shared" si="3888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81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 t="shared" si="3622"/>
        <v>1</v>
      </c>
      <c r="FS355" s="103" t="b">
        <f t="shared" si="3623"/>
        <v>1</v>
      </c>
      <c r="FT355" s="103" t="b">
        <f t="shared" si="3624"/>
        <v>0</v>
      </c>
      <c r="FU355" s="103" t="b">
        <f t="shared" si="3625"/>
        <v>0</v>
      </c>
      <c r="FV355" s="103" t="b">
        <f t="shared" si="3626"/>
        <v>1</v>
      </c>
      <c r="FW355" s="104" t="b">
        <f t="shared" si="3637"/>
        <v>0</v>
      </c>
      <c r="FX355" s="120" t="b">
        <f t="shared" si="3882"/>
        <v>1</v>
      </c>
      <c r="FY355" s="104" t="s">
        <v>368</v>
      </c>
      <c r="FZ355" s="104" t="b">
        <f t="shared" si="3883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84"/>
        <v>1</v>
      </c>
      <c r="GI355" s="8" t="b">
        <f t="shared" si="3885"/>
        <v>0</v>
      </c>
      <c r="GJ355" s="31" t="s">
        <v>203</v>
      </c>
    </row>
    <row r="356" spans="1:193" hidden="1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833"/>
        <v>нет минмакс</v>
      </c>
      <c r="Q356" s="95">
        <v>0</v>
      </c>
      <c r="R356" s="95">
        <f t="shared" si="3834"/>
        <v>0</v>
      </c>
      <c r="S356" s="114">
        <v>8.6669998168945313</v>
      </c>
      <c r="T356" s="114">
        <v>1353.0053414154054</v>
      </c>
      <c r="U356" s="131">
        <f t="shared" si="3835"/>
        <v>0</v>
      </c>
      <c r="V356" s="115">
        <f t="shared" si="3836"/>
        <v>0.40000000596046448</v>
      </c>
      <c r="W356" s="115">
        <f t="shared" si="3837"/>
        <v>58.036000864803789</v>
      </c>
      <c r="X356" s="115">
        <f t="shared" si="3838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39"/>
        <v>0</v>
      </c>
      <c r="AF356" s="95">
        <f t="shared" si="3840"/>
        <v>0</v>
      </c>
      <c r="AG356" s="114">
        <v>0</v>
      </c>
      <c r="AH356" s="95">
        <f t="shared" si="3841"/>
        <v>0.40000000596046448</v>
      </c>
      <c r="AI356" s="114">
        <f t="shared" si="3842"/>
        <v>58.036000864803789</v>
      </c>
      <c r="AJ356" s="114">
        <f t="shared" si="3843"/>
        <v>0</v>
      </c>
      <c r="AK356" s="114">
        <f t="shared" si="3844"/>
        <v>14014</v>
      </c>
      <c r="AL356" s="114">
        <f t="shared" si="3845"/>
        <v>22005</v>
      </c>
      <c r="AM356" s="114">
        <f t="shared" si="3846"/>
        <v>46131.060000000005</v>
      </c>
      <c r="AN356" s="133">
        <f t="shared" si="3847"/>
        <v>3.3817995230133784E-2</v>
      </c>
      <c r="AO356" s="133" t="str">
        <f t="shared" si="3848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49"/>
        <v>0-01</v>
      </c>
      <c r="AW356" s="126">
        <f t="shared" si="3850"/>
        <v>0</v>
      </c>
      <c r="AX356" s="138"/>
      <c r="AY356" s="115">
        <f t="shared" si="3851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52"/>
        <v>0</v>
      </c>
      <c r="BG356" s="32">
        <v>0</v>
      </c>
      <c r="BH356" s="32">
        <f t="shared" si="3853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54"/>
        <v>7688.5100000000011</v>
      </c>
      <c r="BR356" s="95">
        <f t="shared" si="3855"/>
        <v>-3988.9599999940397</v>
      </c>
      <c r="BS356" s="133">
        <f t="shared" si="3856"/>
        <v>-12011.96999999404</v>
      </c>
      <c r="BT356" s="133">
        <f t="shared" si="3856"/>
        <v>-19307.52999999404</v>
      </c>
      <c r="BU356" s="133">
        <f t="shared" si="3856"/>
        <v>-26593.579999994039</v>
      </c>
      <c r="BV356" s="133">
        <f t="shared" si="3856"/>
        <v>-37100.399999994042</v>
      </c>
      <c r="BW356" s="133">
        <f t="shared" si="3856"/>
        <v>-46130.659999994044</v>
      </c>
      <c r="BX356" s="133">
        <f t="shared" si="3887"/>
        <v>-53819.169999994047</v>
      </c>
      <c r="BY356" s="133">
        <f t="shared" si="3887"/>
        <v>-61507.679999994049</v>
      </c>
      <c r="BZ356" s="133">
        <f t="shared" si="3887"/>
        <v>-69196.189999994051</v>
      </c>
      <c r="CA356" s="133">
        <f t="shared" si="3887"/>
        <v>-76884.699999994045</v>
      </c>
      <c r="CB356" s="133">
        <f t="shared" si="3887"/>
        <v>-84573.20999999404</v>
      </c>
      <c r="CC356" s="133">
        <f t="shared" si="3887"/>
        <v>-92261.719999994035</v>
      </c>
      <c r="CD356" s="133">
        <f t="shared" si="3887"/>
        <v>-99950.22999999403</v>
      </c>
      <c r="CE356" s="133">
        <f t="shared" si="3887"/>
        <v>-107638.73999999402</v>
      </c>
      <c r="CF356" s="133">
        <f t="shared" si="3887"/>
        <v>-115327.24999999402</v>
      </c>
      <c r="CG356" s="133">
        <f t="shared" si="3887"/>
        <v>-123015.75999999401</v>
      </c>
      <c r="CH356" s="133">
        <f t="shared" si="3887"/>
        <v>-130704.26999999401</v>
      </c>
      <c r="CI356" s="133">
        <f t="shared" si="3887"/>
        <v>-138392.779999994</v>
      </c>
      <c r="CJ356" s="133">
        <f t="shared" si="3887"/>
        <v>-146081.28999999401</v>
      </c>
      <c r="CK356" s="133">
        <f t="shared" si="3887"/>
        <v>-153769.79999999402</v>
      </c>
      <c r="CL356" s="133">
        <f t="shared" si="3887"/>
        <v>-161458.30999999403</v>
      </c>
      <c r="CM356" s="133">
        <f t="shared" si="3887"/>
        <v>-169146.81999999404</v>
      </c>
      <c r="CN356" s="133">
        <f t="shared" si="3887"/>
        <v>-176835.32999999405</v>
      </c>
      <c r="CO356" s="133">
        <f t="shared" si="3887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58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827"/>
        <v>0</v>
      </c>
      <c r="DB356" s="4">
        <f t="shared" si="3828"/>
        <v>0</v>
      </c>
      <c r="DC356" s="4">
        <f t="shared" si="3829"/>
        <v>0</v>
      </c>
      <c r="DD356" s="136">
        <f t="shared" si="3830"/>
        <v>0</v>
      </c>
      <c r="DE356" s="31">
        <v>0</v>
      </c>
      <c r="DG356" s="31">
        <v>0</v>
      </c>
      <c r="DH356" s="48">
        <f t="shared" si="3859"/>
        <v>0</v>
      </c>
      <c r="DI356" s="62">
        <v>1.556</v>
      </c>
      <c r="DJ356" s="62">
        <v>234.51599999999999</v>
      </c>
      <c r="DK356" s="48">
        <f t="shared" si="3860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61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62"/>
        <v>0</v>
      </c>
      <c r="DV356" s="62">
        <v>7302.5919999999996</v>
      </c>
      <c r="DW356" s="62">
        <v>1035078.6127154565</v>
      </c>
      <c r="DX356" s="62">
        <f t="shared" si="3863"/>
        <v>0</v>
      </c>
      <c r="DY356" s="62">
        <f t="shared" si="3864"/>
        <v>0</v>
      </c>
      <c r="DZ356" s="48">
        <f t="shared" si="3865"/>
        <v>0</v>
      </c>
      <c r="EA356" s="62">
        <f t="shared" si="3866"/>
        <v>0</v>
      </c>
      <c r="EB356" s="62">
        <f t="shared" si="3867"/>
        <v>0</v>
      </c>
      <c r="EC356" s="48">
        <f t="shared" si="3868"/>
        <v>0</v>
      </c>
      <c r="ED356" s="62">
        <f t="shared" si="3869"/>
        <v>0</v>
      </c>
      <c r="EE356" s="62">
        <f t="shared" si="3870"/>
        <v>0</v>
      </c>
      <c r="EF356" s="48">
        <f t="shared" si="3871"/>
        <v>0</v>
      </c>
      <c r="EG356" s="62">
        <f t="shared" si="3872"/>
        <v>0</v>
      </c>
      <c r="EH356" s="62">
        <f t="shared" si="3873"/>
        <v>0</v>
      </c>
      <c r="EI356" s="48">
        <f t="shared" si="3874"/>
        <v>0</v>
      </c>
      <c r="EJ356" s="62">
        <f t="shared" si="3875"/>
        <v>0</v>
      </c>
      <c r="EK356" s="62">
        <f t="shared" si="3876"/>
        <v>0</v>
      </c>
      <c r="EL356" s="48">
        <f t="shared" si="3877"/>
        <v>0</v>
      </c>
      <c r="EM356" s="62">
        <f t="shared" si="3878"/>
        <v>0</v>
      </c>
      <c r="EN356" s="62">
        <f t="shared" si="3879"/>
        <v>0</v>
      </c>
      <c r="EO356" s="48">
        <f t="shared" si="3880"/>
        <v>0</v>
      </c>
      <c r="EP356" s="62">
        <f t="shared" si="3888"/>
        <v>578816.24239999999</v>
      </c>
      <c r="EQ356" s="62">
        <f t="shared" si="3888"/>
        <v>1164058.5209000001</v>
      </c>
      <c r="ER356" s="62">
        <f t="shared" si="3888"/>
        <v>1058512.8004000001</v>
      </c>
      <c r="ES356" s="62">
        <f t="shared" si="3888"/>
        <v>1057132.9945</v>
      </c>
      <c r="ET356" s="62">
        <f t="shared" si="3888"/>
        <v>1524434.5138000001</v>
      </c>
      <c r="EU356" s="62">
        <f t="shared" si="3888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81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 t="shared" si="3622"/>
        <v>1</v>
      </c>
      <c r="FS356" s="120" t="b">
        <f t="shared" si="3623"/>
        <v>1</v>
      </c>
      <c r="FT356" s="120" t="b">
        <f t="shared" si="3624"/>
        <v>1</v>
      </c>
      <c r="FU356" s="120" t="b">
        <f t="shared" si="3625"/>
        <v>1</v>
      </c>
      <c r="FV356" s="120" t="b">
        <f t="shared" si="3626"/>
        <v>1</v>
      </c>
      <c r="FW356" s="104" t="b">
        <f t="shared" si="3637"/>
        <v>0</v>
      </c>
      <c r="FX356" s="120" t="b">
        <f t="shared" si="3882"/>
        <v>1</v>
      </c>
      <c r="FY356" s="104" t="s">
        <v>368</v>
      </c>
      <c r="FZ356" s="104" t="b">
        <f t="shared" si="3883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84"/>
        <v>1</v>
      </c>
      <c r="GI356" s="8" t="b">
        <f t="shared" si="3885"/>
        <v>0</v>
      </c>
      <c r="GJ356" s="31" t="s">
        <v>203</v>
      </c>
    </row>
    <row r="357" spans="1:193" hidden="1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833"/>
        <v>нет минмакс</v>
      </c>
      <c r="Q357" s="95">
        <v>400</v>
      </c>
      <c r="R357" s="95">
        <f t="shared" si="3834"/>
        <v>1252</v>
      </c>
      <c r="S357" s="114">
        <v>400</v>
      </c>
      <c r="T357" s="114">
        <v>1252</v>
      </c>
      <c r="U357" s="131">
        <f t="shared" si="3835"/>
        <v>1</v>
      </c>
      <c r="V357" s="115">
        <f t="shared" si="3836"/>
        <v>400</v>
      </c>
      <c r="W357" s="115">
        <f t="shared" si="3837"/>
        <v>1252</v>
      </c>
      <c r="X357" s="115">
        <f t="shared" si="3838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39"/>
        <v>0</v>
      </c>
      <c r="AF357" s="95">
        <f t="shared" si="3840"/>
        <v>0</v>
      </c>
      <c r="AG357" s="114">
        <v>0</v>
      </c>
      <c r="AH357" s="95">
        <f t="shared" si="3841"/>
        <v>400</v>
      </c>
      <c r="AI357" s="114">
        <f t="shared" si="3842"/>
        <v>1252</v>
      </c>
      <c r="AJ357" s="114">
        <f t="shared" si="3843"/>
        <v>0</v>
      </c>
      <c r="AK357" s="114">
        <f t="shared" si="3844"/>
        <v>0</v>
      </c>
      <c r="AL357" s="114">
        <f t="shared" si="3845"/>
        <v>0</v>
      </c>
      <c r="AM357" s="114">
        <f t="shared" si="3846"/>
        <v>0</v>
      </c>
      <c r="AN357" s="133" t="str">
        <f t="shared" si="3847"/>
        <v>нет оборота</v>
      </c>
      <c r="AO357" s="133" t="str">
        <f t="shared" si="3848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49"/>
        <v>Нет планов</v>
      </c>
      <c r="AW357" s="126">
        <f t="shared" si="3850"/>
        <v>1252</v>
      </c>
      <c r="AX357" s="138"/>
      <c r="AY357" s="115">
        <f t="shared" si="3851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52"/>
        <v>1252</v>
      </c>
      <c r="BG357" s="32">
        <v>0</v>
      </c>
      <c r="BH357" s="32">
        <f t="shared" si="3853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54"/>
        <v>0</v>
      </c>
      <c r="BR357" s="95">
        <f t="shared" si="3855"/>
        <v>400</v>
      </c>
      <c r="BS357" s="133">
        <f t="shared" si="3856"/>
        <v>400</v>
      </c>
      <c r="BT357" s="133">
        <f t="shared" si="3856"/>
        <v>400</v>
      </c>
      <c r="BU357" s="133">
        <f t="shared" si="3856"/>
        <v>400</v>
      </c>
      <c r="BV357" s="133">
        <f t="shared" si="3856"/>
        <v>400</v>
      </c>
      <c r="BW357" s="133">
        <f t="shared" si="3856"/>
        <v>400</v>
      </c>
      <c r="BX357" s="133">
        <f t="shared" si="3887"/>
        <v>400</v>
      </c>
      <c r="BY357" s="133">
        <f t="shared" si="3887"/>
        <v>400</v>
      </c>
      <c r="BZ357" s="133">
        <f t="shared" si="3887"/>
        <v>400</v>
      </c>
      <c r="CA357" s="133">
        <f t="shared" si="3887"/>
        <v>400</v>
      </c>
      <c r="CB357" s="133">
        <f t="shared" si="3887"/>
        <v>400</v>
      </c>
      <c r="CC357" s="133">
        <f t="shared" si="3887"/>
        <v>400</v>
      </c>
      <c r="CD357" s="133">
        <f t="shared" si="3887"/>
        <v>400</v>
      </c>
      <c r="CE357" s="133">
        <f t="shared" si="3887"/>
        <v>400</v>
      </c>
      <c r="CF357" s="133">
        <f t="shared" si="3887"/>
        <v>400</v>
      </c>
      <c r="CG357" s="133">
        <f t="shared" si="3887"/>
        <v>400</v>
      </c>
      <c r="CH357" s="133">
        <f t="shared" si="3887"/>
        <v>400</v>
      </c>
      <c r="CI357" s="133">
        <f t="shared" si="3887"/>
        <v>400</v>
      </c>
      <c r="CJ357" s="133">
        <f t="shared" si="3887"/>
        <v>400</v>
      </c>
      <c r="CK357" s="133">
        <f t="shared" si="3887"/>
        <v>400</v>
      </c>
      <c r="CL357" s="133">
        <f t="shared" si="3887"/>
        <v>400</v>
      </c>
      <c r="CM357" s="133">
        <f t="shared" si="3887"/>
        <v>400</v>
      </c>
      <c r="CN357" s="133">
        <f t="shared" si="3887"/>
        <v>400</v>
      </c>
      <c r="CO357" s="133">
        <f t="shared" si="3887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58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827"/>
        <v>0</v>
      </c>
      <c r="DB357" s="4">
        <f t="shared" si="3828"/>
        <v>0</v>
      </c>
      <c r="DC357" s="4">
        <f t="shared" si="3829"/>
        <v>0</v>
      </c>
      <c r="DD357" s="136">
        <f t="shared" si="3830"/>
        <v>0</v>
      </c>
      <c r="DE357" s="31">
        <v>0</v>
      </c>
      <c r="DG357" s="31">
        <v>0</v>
      </c>
      <c r="DH357" s="48">
        <f t="shared" si="3859"/>
        <v>0</v>
      </c>
      <c r="DI357" s="62">
        <v>400</v>
      </c>
      <c r="DJ357" s="62">
        <v>1250.43</v>
      </c>
      <c r="DK357" s="48">
        <f t="shared" si="3860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61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62"/>
        <v>1</v>
      </c>
      <c r="DV357" s="62">
        <v>0</v>
      </c>
      <c r="DW357" s="62">
        <v>0</v>
      </c>
      <c r="DX357" s="62">
        <f t="shared" si="3863"/>
        <v>0</v>
      </c>
      <c r="DY357" s="62">
        <f t="shared" si="3864"/>
        <v>0</v>
      </c>
      <c r="DZ357" s="48">
        <f t="shared" si="3865"/>
        <v>0</v>
      </c>
      <c r="EA357" s="62">
        <f t="shared" si="3866"/>
        <v>0</v>
      </c>
      <c r="EB357" s="62">
        <f t="shared" si="3867"/>
        <v>0</v>
      </c>
      <c r="EC357" s="48">
        <f t="shared" si="3868"/>
        <v>0</v>
      </c>
      <c r="ED357" s="62">
        <f t="shared" si="3869"/>
        <v>0</v>
      </c>
      <c r="EE357" s="62">
        <f t="shared" si="3870"/>
        <v>0</v>
      </c>
      <c r="EF357" s="48">
        <f t="shared" si="3871"/>
        <v>0</v>
      </c>
      <c r="EG357" s="62">
        <f t="shared" si="3872"/>
        <v>0</v>
      </c>
      <c r="EH357" s="62">
        <f t="shared" si="3873"/>
        <v>0</v>
      </c>
      <c r="EI357" s="48">
        <f t="shared" si="3874"/>
        <v>0</v>
      </c>
      <c r="EJ357" s="62">
        <f t="shared" si="3875"/>
        <v>0</v>
      </c>
      <c r="EK357" s="62">
        <f t="shared" si="3876"/>
        <v>0</v>
      </c>
      <c r="EL357" s="48">
        <f t="shared" si="3877"/>
        <v>0</v>
      </c>
      <c r="EM357" s="62">
        <f t="shared" si="3878"/>
        <v>0</v>
      </c>
      <c r="EN357" s="62">
        <f t="shared" si="3879"/>
        <v>0</v>
      </c>
      <c r="EO357" s="48">
        <f t="shared" si="3880"/>
        <v>0</v>
      </c>
      <c r="EP357" s="62">
        <f t="shared" si="3888"/>
        <v>0</v>
      </c>
      <c r="EQ357" s="62">
        <f t="shared" si="3888"/>
        <v>0</v>
      </c>
      <c r="ER357" s="62">
        <f t="shared" si="3888"/>
        <v>0</v>
      </c>
      <c r="ES357" s="62">
        <f t="shared" si="3888"/>
        <v>0</v>
      </c>
      <c r="ET357" s="62">
        <f t="shared" si="3888"/>
        <v>0</v>
      </c>
      <c r="EU357" s="62">
        <f t="shared" si="3888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81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 t="shared" si="3622"/>
        <v>1</v>
      </c>
      <c r="FS357" s="120" t="b">
        <f t="shared" si="3623"/>
        <v>1</v>
      </c>
      <c r="FT357" s="120" t="b">
        <f t="shared" si="3624"/>
        <v>0</v>
      </c>
      <c r="FU357" s="120" t="b">
        <f t="shared" si="3625"/>
        <v>1</v>
      </c>
      <c r="FV357" s="120" t="b">
        <f t="shared" si="3626"/>
        <v>1</v>
      </c>
      <c r="FW357" s="104" t="b">
        <f t="shared" si="3637"/>
        <v>0</v>
      </c>
      <c r="FX357" s="120" t="b">
        <f t="shared" si="3882"/>
        <v>1</v>
      </c>
      <c r="FY357" s="104" t="s">
        <v>368</v>
      </c>
      <c r="FZ357" s="104" t="b">
        <f t="shared" si="3883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84"/>
        <v>1</v>
      </c>
      <c r="GI357" s="8" t="b">
        <f t="shared" si="3885"/>
        <v>0</v>
      </c>
      <c r="GJ357" s="31" t="s">
        <v>203</v>
      </c>
    </row>
    <row r="358" spans="1:193" hidden="1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89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90">Q358*FH358</f>
        <v>856.7</v>
      </c>
      <c r="S358" s="114">
        <v>790</v>
      </c>
      <c r="T358" s="114">
        <v>948</v>
      </c>
      <c r="U358" s="131">
        <f t="shared" ref="U358:U361" si="3891">IFERROR(ROUNDUP(S358/$EX358,0)*$EY358,0)</f>
        <v>1</v>
      </c>
      <c r="V358" s="115">
        <f t="shared" si="3836"/>
        <v>500</v>
      </c>
      <c r="W358" s="115">
        <f t="shared" ref="W358:W361" si="3892">V358*FH358</f>
        <v>650</v>
      </c>
      <c r="X358" s="115">
        <f t="shared" ref="X358:X361" si="3893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94">AA358*FH358</f>
        <v>0</v>
      </c>
      <c r="AF358" s="95">
        <f t="shared" ref="AF358:AF361" si="3895">AB358*FH358</f>
        <v>0</v>
      </c>
      <c r="AG358" s="114">
        <v>0</v>
      </c>
      <c r="AH358" s="95">
        <f t="shared" ref="AH358:AH361" si="3896">V358-AG358</f>
        <v>500</v>
      </c>
      <c r="AI358" s="114">
        <f t="shared" ref="AI358:AI361" si="3897">IF(AH358&gt;0,AH358*FH358,0)</f>
        <v>650</v>
      </c>
      <c r="AJ358" s="114">
        <f t="shared" ref="AJ358:AJ361" si="3898">CU358</f>
        <v>2183</v>
      </c>
      <c r="AK358" s="114">
        <f t="shared" si="3844"/>
        <v>6229</v>
      </c>
      <c r="AL358" s="114">
        <f t="shared" ref="AL358:AL361" si="3899">SUM(CP358:CU358)</f>
        <v>13803</v>
      </c>
      <c r="AM358" s="114">
        <f t="shared" ref="AM358:AM361" si="3900">SUM(BK358:BP358)</f>
        <v>17410</v>
      </c>
      <c r="AN358" s="133">
        <f t="shared" ref="AN358:AN361" si="3901">IFERROR(S358/BQ358*30,"нет оборота")</f>
        <v>8.1677197013210812</v>
      </c>
      <c r="AO358" s="133" t="str">
        <f t="shared" ref="AO358:AO361" si="3902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903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904">IF(AT358="Да",W358,0)</f>
        <v>0</v>
      </c>
      <c r="AX358" s="138"/>
      <c r="AY358" s="115">
        <f t="shared" ref="AY358:AY361" si="3905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906">BE358*FH358</f>
        <v>0</v>
      </c>
      <c r="BG358" s="32">
        <v>0</v>
      </c>
      <c r="BH358" s="32">
        <f t="shared" ref="BH358:BH361" si="3907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908">IF(COUNTIF(BK358:BP358,"&gt;0")=0,0,SUM(BK358:BP358)/COUNTIF(BK358:BP358,"&gt;0"))</f>
        <v>2901.6666666666665</v>
      </c>
      <c r="BR358" s="95">
        <f t="shared" ref="BR358:BR361" si="3909">IF(OR(Q358=0,SUM(BK358:BP358)=0,V358&gt;Q358),V358-BK358,Q358-BK358)</f>
        <v>-1841</v>
      </c>
      <c r="BS358" s="133">
        <f t="shared" ref="BS358:BW361" si="3910">BR358-BL358</f>
        <v>-4341</v>
      </c>
      <c r="BT358" s="133">
        <f t="shared" si="3910"/>
        <v>-6841</v>
      </c>
      <c r="BU358" s="133">
        <f t="shared" si="3910"/>
        <v>-11841</v>
      </c>
      <c r="BV358" s="133">
        <f t="shared" si="3910"/>
        <v>-14341</v>
      </c>
      <c r="BW358" s="133">
        <f t="shared" si="3910"/>
        <v>-16751</v>
      </c>
      <c r="BX358" s="133">
        <f t="shared" ref="BX358:CO358" si="3911">BW358-$BQ358</f>
        <v>-19652.666666666668</v>
      </c>
      <c r="BY358" s="133">
        <f t="shared" si="3911"/>
        <v>-22554.333333333336</v>
      </c>
      <c r="BZ358" s="133">
        <f t="shared" si="3911"/>
        <v>-25456.000000000004</v>
      </c>
      <c r="CA358" s="133">
        <f t="shared" si="3911"/>
        <v>-28357.666666666672</v>
      </c>
      <c r="CB358" s="133">
        <f t="shared" si="3911"/>
        <v>-31259.333333333339</v>
      </c>
      <c r="CC358" s="133">
        <f t="shared" si="3911"/>
        <v>-34161.000000000007</v>
      </c>
      <c r="CD358" s="133">
        <f t="shared" si="3911"/>
        <v>-37062.666666666672</v>
      </c>
      <c r="CE358" s="133">
        <f t="shared" si="3911"/>
        <v>-39964.333333333336</v>
      </c>
      <c r="CF358" s="133">
        <f t="shared" si="3911"/>
        <v>-42866</v>
      </c>
      <c r="CG358" s="133">
        <f t="shared" si="3911"/>
        <v>-45767.666666666664</v>
      </c>
      <c r="CH358" s="133">
        <f t="shared" si="3911"/>
        <v>-48669.333333333328</v>
      </c>
      <c r="CI358" s="133">
        <f t="shared" si="3911"/>
        <v>-51570.999999999993</v>
      </c>
      <c r="CJ358" s="133">
        <f t="shared" si="3911"/>
        <v>-54472.666666666657</v>
      </c>
      <c r="CK358" s="133">
        <f t="shared" si="3911"/>
        <v>-57374.333333333321</v>
      </c>
      <c r="CL358" s="133">
        <f t="shared" si="3911"/>
        <v>-60275.999999999985</v>
      </c>
      <c r="CM358" s="133">
        <f t="shared" si="3911"/>
        <v>-63177.66666666665</v>
      </c>
      <c r="CN358" s="133">
        <f t="shared" si="3911"/>
        <v>-66079.333333333314</v>
      </c>
      <c r="CO358" s="133">
        <f t="shared" si="3911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912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913">IFERROR(CZ358/CY358,0)</f>
        <v>0</v>
      </c>
      <c r="DB358" s="4">
        <f t="shared" ref="DB358:DB361" si="3914">CY358*FH358</f>
        <v>0</v>
      </c>
      <c r="DC358" s="4">
        <f t="shared" ref="DC358:DC361" si="3915">CZ358*FH358</f>
        <v>0</v>
      </c>
      <c r="DD358" s="136">
        <f t="shared" ref="DD358:DD361" si="3916">IFERROR(DC358/DB358,0)</f>
        <v>0</v>
      </c>
      <c r="DE358" s="31">
        <v>0</v>
      </c>
      <c r="DG358" s="31">
        <v>0</v>
      </c>
      <c r="DH358" s="48">
        <f t="shared" ref="DH358:DH361" si="3917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918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919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920">IFERROR(ROUNDUP(DS358/$EX358,0)*$EY358,0)</f>
        <v>1</v>
      </c>
      <c r="DV358" s="62">
        <v>2098</v>
      </c>
      <c r="DW358" s="62">
        <v>2444.1907997356243</v>
      </c>
      <c r="DX358" s="62">
        <f t="shared" ref="DX358:DX361" si="3921">$DF358*BK358/30</f>
        <v>0</v>
      </c>
      <c r="DY358" s="62">
        <f t="shared" ref="DY358:DY361" si="3922">DX358*$FH358</f>
        <v>0</v>
      </c>
      <c r="DZ358" s="48">
        <f t="shared" ref="DZ358:DZ361" si="3923">IFERROR(ROUNDUP(DX358/$EX358,0)*$EY358,0)</f>
        <v>0</v>
      </c>
      <c r="EA358" s="62">
        <f t="shared" ref="EA358:EA361" si="3924">$DF358*BL358/30</f>
        <v>0</v>
      </c>
      <c r="EB358" s="62">
        <f t="shared" ref="EB358:EB361" si="3925">EA358*$FH358</f>
        <v>0</v>
      </c>
      <c r="EC358" s="48">
        <f t="shared" ref="EC358:EC361" si="3926">IFERROR(ROUNDUP(EA358/$EX358,0)*$EY358,0)</f>
        <v>0</v>
      </c>
      <c r="ED358" s="62">
        <f t="shared" ref="ED358:ED361" si="3927">$DF358*BM358/30</f>
        <v>0</v>
      </c>
      <c r="EE358" s="62">
        <f t="shared" ref="EE358:EE361" si="3928">ED358*$FH358</f>
        <v>0</v>
      </c>
      <c r="EF358" s="48">
        <f t="shared" ref="EF358:EF361" si="3929">IFERROR(ROUNDUP(ED358/$EX358,0)*$EY358,0)</f>
        <v>0</v>
      </c>
      <c r="EG358" s="62">
        <f t="shared" ref="EG358:EG361" si="3930">$DF358*BN358/30</f>
        <v>0</v>
      </c>
      <c r="EH358" s="62">
        <f t="shared" ref="EH358:EH361" si="3931">EG358*$FH358</f>
        <v>0</v>
      </c>
      <c r="EI358" s="48">
        <f t="shared" ref="EI358:EI361" si="3932">IFERROR(ROUNDUP(EG358/$EX358,0)*$EY358,0)</f>
        <v>0</v>
      </c>
      <c r="EJ358" s="62">
        <f t="shared" ref="EJ358:EJ361" si="3933">$DF358*BO358/30</f>
        <v>0</v>
      </c>
      <c r="EK358" s="62">
        <f t="shared" ref="EK358:EK361" si="3934">EJ358*$FH358</f>
        <v>0</v>
      </c>
      <c r="EL358" s="48">
        <f t="shared" ref="EL358:EL361" si="3935">IFERROR(ROUNDUP(EJ358/$EX358,0)*$EY358,0)</f>
        <v>0</v>
      </c>
      <c r="EM358" s="62">
        <f t="shared" ref="EM358:EM361" si="3936">$DF358*BP358/30</f>
        <v>0</v>
      </c>
      <c r="EN358" s="62">
        <f t="shared" ref="EN358:EN361" si="3937">EM358*$FH358</f>
        <v>0</v>
      </c>
      <c r="EO358" s="48">
        <f t="shared" ref="EO358:EO361" si="3938">IFERROR(ROUNDUP(EM358/$EX358,0)*$EY358,0)</f>
        <v>0</v>
      </c>
      <c r="EP358" s="62">
        <f t="shared" si="3888"/>
        <v>3250</v>
      </c>
      <c r="EQ358" s="62">
        <f t="shared" si="3888"/>
        <v>3250</v>
      </c>
      <c r="ER358" s="62">
        <f t="shared" si="3888"/>
        <v>3250</v>
      </c>
      <c r="ES358" s="62">
        <f t="shared" si="3888"/>
        <v>6500</v>
      </c>
      <c r="ET358" s="62">
        <f t="shared" si="3888"/>
        <v>3250</v>
      </c>
      <c r="EU358" s="62">
        <f t="shared" si="3888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39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 t="shared" si="3622"/>
        <v>1</v>
      </c>
      <c r="FS358" s="120" t="b">
        <f t="shared" si="3623"/>
        <v>1</v>
      </c>
      <c r="FT358" s="120" t="b">
        <f t="shared" si="3624"/>
        <v>1</v>
      </c>
      <c r="FU358" s="120" t="b">
        <f t="shared" si="3625"/>
        <v>1</v>
      </c>
      <c r="FV358" s="120" t="b">
        <f t="shared" si="3626"/>
        <v>1</v>
      </c>
      <c r="FW358" s="104" t="b">
        <f t="shared" si="3637"/>
        <v>0</v>
      </c>
      <c r="FX358" s="120" t="b">
        <f t="shared" ref="FX358:FX361" si="3940">EXACT(FQ358,BI358)</f>
        <v>1</v>
      </c>
      <c r="FY358" s="104" t="s">
        <v>368</v>
      </c>
      <c r="FZ358" s="104" t="b">
        <f t="shared" ref="FZ358:FZ361" si="3941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42">EXACT(GD358,C358)</f>
        <v>1</v>
      </c>
      <c r="GI358" s="8" t="b">
        <f t="shared" ref="GI358:GI361" si="3943">EXACT(GG358,G358)</f>
        <v>0</v>
      </c>
      <c r="GJ358" s="31" t="s">
        <v>203</v>
      </c>
    </row>
    <row r="359" spans="1:193" hidden="1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89"/>
        <v>нет минмакс</v>
      </c>
      <c r="Q359" s="95">
        <v>553.55902537703514</v>
      </c>
      <c r="R359" s="95">
        <f t="shared" si="3890"/>
        <v>72161.954548150316</v>
      </c>
      <c r="S359" s="114">
        <v>3.2060000598430634</v>
      </c>
      <c r="T359" s="114">
        <v>469.4225287622213</v>
      </c>
      <c r="U359" s="131">
        <f t="shared" si="3891"/>
        <v>0</v>
      </c>
      <c r="V359" s="115">
        <f t="shared" ref="V359:V362" si="3944">SUM(Z359:AD359)</f>
        <v>1928.1240234375</v>
      </c>
      <c r="W359" s="115">
        <f t="shared" si="3892"/>
        <v>251350.24769531252</v>
      </c>
      <c r="X359" s="115">
        <f t="shared" si="3893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94"/>
        <v>0</v>
      </c>
      <c r="AF359" s="95">
        <f t="shared" si="3895"/>
        <v>0</v>
      </c>
      <c r="AG359" s="114">
        <v>0</v>
      </c>
      <c r="AH359" s="95">
        <f t="shared" si="3896"/>
        <v>1928.1240234375</v>
      </c>
      <c r="AI359" s="114">
        <f t="shared" si="3897"/>
        <v>251350.24769531252</v>
      </c>
      <c r="AJ359" s="114">
        <f t="shared" si="3898"/>
        <v>82065</v>
      </c>
      <c r="AK359" s="114">
        <f t="shared" ref="AK359:AK362" si="3945">SUM(CS359:CU359)</f>
        <v>304306</v>
      </c>
      <c r="AL359" s="114">
        <f t="shared" si="3899"/>
        <v>565510</v>
      </c>
      <c r="AM359" s="114">
        <f t="shared" si="3900"/>
        <v>635413.84000000008</v>
      </c>
      <c r="AN359" s="133">
        <f t="shared" si="3901"/>
        <v>9.0819553249225937E-4</v>
      </c>
      <c r="AO359" s="133" t="str">
        <f t="shared" si="3902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903"/>
        <v>0-01</v>
      </c>
      <c r="AW359" s="126">
        <f t="shared" si="3904"/>
        <v>0</v>
      </c>
      <c r="AX359" s="138"/>
      <c r="AY359" s="115">
        <f t="shared" si="3905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906"/>
        <v>0</v>
      </c>
      <c r="BG359" s="32">
        <v>0</v>
      </c>
      <c r="BH359" s="32">
        <f t="shared" si="3907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908"/>
        <v>105902.30666666669</v>
      </c>
      <c r="BR359" s="95">
        <f t="shared" si="3909"/>
        <v>-113907.33597656251</v>
      </c>
      <c r="BS359" s="133">
        <f t="shared" si="3910"/>
        <v>-231978.04597656251</v>
      </c>
      <c r="BT359" s="133">
        <f t="shared" si="3910"/>
        <v>-338055.83597656252</v>
      </c>
      <c r="BU359" s="133">
        <f t="shared" si="3910"/>
        <v>-448279.65597656253</v>
      </c>
      <c r="BV359" s="133">
        <f t="shared" si="3910"/>
        <v>-548817.77597656252</v>
      </c>
      <c r="BW359" s="133">
        <f t="shared" si="3910"/>
        <v>-633485.71597656258</v>
      </c>
      <c r="BX359" s="133">
        <f t="shared" ref="BX359:CO361" si="3946">BW359-$BQ359</f>
        <v>-739388.02264322923</v>
      </c>
      <c r="BY359" s="133">
        <f t="shared" si="3946"/>
        <v>-845290.32930989587</v>
      </c>
      <c r="BZ359" s="133">
        <f t="shared" si="3946"/>
        <v>-951192.63597656251</v>
      </c>
      <c r="CA359" s="133">
        <f t="shared" si="3946"/>
        <v>-1057094.9426432292</v>
      </c>
      <c r="CB359" s="133">
        <f t="shared" si="3946"/>
        <v>-1162997.2493098958</v>
      </c>
      <c r="CC359" s="133">
        <f t="shared" si="3946"/>
        <v>-1268899.5559765624</v>
      </c>
      <c r="CD359" s="133">
        <f t="shared" si="3946"/>
        <v>-1374801.8626432291</v>
      </c>
      <c r="CE359" s="133">
        <f t="shared" si="3946"/>
        <v>-1480704.1693098957</v>
      </c>
      <c r="CF359" s="133">
        <f t="shared" si="3946"/>
        <v>-1586606.4759765624</v>
      </c>
      <c r="CG359" s="133">
        <f t="shared" si="3946"/>
        <v>-1692508.782643229</v>
      </c>
      <c r="CH359" s="133">
        <f t="shared" si="3946"/>
        <v>-1798411.0893098956</v>
      </c>
      <c r="CI359" s="133">
        <f t="shared" si="3946"/>
        <v>-1904313.3959765623</v>
      </c>
      <c r="CJ359" s="133">
        <f t="shared" si="3946"/>
        <v>-2010215.7026432289</v>
      </c>
      <c r="CK359" s="133">
        <f t="shared" si="3946"/>
        <v>-2116118.0093098958</v>
      </c>
      <c r="CL359" s="133">
        <f t="shared" si="3946"/>
        <v>-2222020.3159765624</v>
      </c>
      <c r="CM359" s="133">
        <f t="shared" si="3946"/>
        <v>-2327922.6226432291</v>
      </c>
      <c r="CN359" s="133">
        <f t="shared" si="3946"/>
        <v>-2433824.9293098957</v>
      </c>
      <c r="CO359" s="133">
        <f t="shared" si="3946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912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913"/>
        <v>0</v>
      </c>
      <c r="DB359" s="4">
        <f t="shared" si="3914"/>
        <v>0</v>
      </c>
      <c r="DC359" s="4">
        <f t="shared" si="3915"/>
        <v>0</v>
      </c>
      <c r="DD359" s="136">
        <f t="shared" si="3916"/>
        <v>0</v>
      </c>
      <c r="DE359" s="31">
        <v>0</v>
      </c>
      <c r="DG359" s="31">
        <v>0</v>
      </c>
      <c r="DH359" s="48">
        <f t="shared" si="3917"/>
        <v>0</v>
      </c>
      <c r="DI359" s="62">
        <v>4.5819999999999999</v>
      </c>
      <c r="DJ359" s="62">
        <v>649.48199999999997</v>
      </c>
      <c r="DK359" s="48">
        <f t="shared" si="3918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919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920"/>
        <v>0</v>
      </c>
      <c r="DV359" s="62">
        <v>70590.829000000012</v>
      </c>
      <c r="DW359" s="62">
        <v>10216133.808471492</v>
      </c>
      <c r="DX359" s="62">
        <f t="shared" si="3921"/>
        <v>0</v>
      </c>
      <c r="DY359" s="62">
        <f t="shared" si="3922"/>
        <v>0</v>
      </c>
      <c r="DZ359" s="48">
        <f t="shared" si="3923"/>
        <v>0</v>
      </c>
      <c r="EA359" s="62">
        <f t="shared" si="3924"/>
        <v>0</v>
      </c>
      <c r="EB359" s="62">
        <f t="shared" si="3925"/>
        <v>0</v>
      </c>
      <c r="EC359" s="48">
        <f t="shared" si="3926"/>
        <v>0</v>
      </c>
      <c r="ED359" s="62">
        <f t="shared" si="3927"/>
        <v>0</v>
      </c>
      <c r="EE359" s="62">
        <f t="shared" si="3928"/>
        <v>0</v>
      </c>
      <c r="EF359" s="48">
        <f t="shared" si="3929"/>
        <v>0</v>
      </c>
      <c r="EG359" s="62">
        <f t="shared" si="3930"/>
        <v>0</v>
      </c>
      <c r="EH359" s="62">
        <f t="shared" si="3931"/>
        <v>0</v>
      </c>
      <c r="EI359" s="48">
        <f t="shared" si="3932"/>
        <v>0</v>
      </c>
      <c r="EJ359" s="62">
        <f t="shared" si="3933"/>
        <v>0</v>
      </c>
      <c r="EK359" s="62">
        <f t="shared" si="3934"/>
        <v>0</v>
      </c>
      <c r="EL359" s="48">
        <f t="shared" si="3935"/>
        <v>0</v>
      </c>
      <c r="EM359" s="62">
        <f t="shared" si="3936"/>
        <v>0</v>
      </c>
      <c r="EN359" s="62">
        <f t="shared" si="3937"/>
        <v>0</v>
      </c>
      <c r="EO359" s="48">
        <f t="shared" si="3938"/>
        <v>0</v>
      </c>
      <c r="EP359" s="62">
        <f t="shared" ref="EP359:ER365" si="3947">BK359*$FH359</f>
        <v>15100310.565600002</v>
      </c>
      <c r="EQ359" s="62">
        <f t="shared" si="3947"/>
        <v>15391697.755600002</v>
      </c>
      <c r="ER359" s="62">
        <f t="shared" si="3947"/>
        <v>13828300.704400001</v>
      </c>
      <c r="ES359" s="62">
        <f t="shared" ref="ES359:EU365" si="3948">BN359*$FH359</f>
        <v>14368777.175200002</v>
      </c>
      <c r="ET359" s="62">
        <f t="shared" si="3948"/>
        <v>13106149.3232</v>
      </c>
      <c r="EU359" s="62">
        <f t="shared" si="3948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39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 t="shared" si="3622"/>
        <v>1</v>
      </c>
      <c r="FS359" s="120" t="b">
        <f t="shared" si="3623"/>
        <v>1</v>
      </c>
      <c r="FT359" s="120" t="b">
        <f t="shared" si="3624"/>
        <v>1</v>
      </c>
      <c r="FU359" s="120" t="b">
        <f t="shared" si="3625"/>
        <v>1</v>
      </c>
      <c r="FV359" s="120" t="b">
        <f t="shared" si="3626"/>
        <v>1</v>
      </c>
      <c r="FW359" s="104" t="b">
        <f t="shared" si="3637"/>
        <v>0</v>
      </c>
      <c r="FX359" s="120" t="b">
        <f t="shared" si="3940"/>
        <v>1</v>
      </c>
      <c r="FY359" s="104" t="s">
        <v>368</v>
      </c>
      <c r="FZ359" s="104" t="b">
        <f t="shared" si="3941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42"/>
        <v>1</v>
      </c>
      <c r="GI359" s="8" t="b">
        <f t="shared" si="3943"/>
        <v>0</v>
      </c>
      <c r="GJ359" s="31" t="s">
        <v>203</v>
      </c>
    </row>
    <row r="360" spans="1:193" hidden="1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89"/>
        <v>нет минмакс</v>
      </c>
      <c r="Q360" s="95">
        <v>4610</v>
      </c>
      <c r="R360" s="95">
        <f t="shared" si="3890"/>
        <v>5854.7</v>
      </c>
      <c r="S360" s="114">
        <v>395</v>
      </c>
      <c r="T360" s="114">
        <v>450.29999999999995</v>
      </c>
      <c r="U360" s="131">
        <f t="shared" si="3891"/>
        <v>1</v>
      </c>
      <c r="V360" s="115">
        <f t="shared" si="3944"/>
        <v>4610</v>
      </c>
      <c r="W360" s="115">
        <f t="shared" si="3892"/>
        <v>5854.7</v>
      </c>
      <c r="X360" s="115">
        <f t="shared" si="3893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94"/>
        <v>0</v>
      </c>
      <c r="AF360" s="95">
        <f t="shared" si="3895"/>
        <v>0</v>
      </c>
      <c r="AG360" s="114">
        <v>0</v>
      </c>
      <c r="AH360" s="95">
        <f t="shared" si="3896"/>
        <v>4610</v>
      </c>
      <c r="AI360" s="114">
        <f t="shared" si="3897"/>
        <v>5854.7</v>
      </c>
      <c r="AJ360" s="114">
        <f t="shared" si="3898"/>
        <v>1785</v>
      </c>
      <c r="AK360" s="114">
        <f t="shared" si="3945"/>
        <v>3586</v>
      </c>
      <c r="AL360" s="114">
        <f t="shared" si="3899"/>
        <v>14010</v>
      </c>
      <c r="AM360" s="114">
        <f t="shared" si="3900"/>
        <v>11908</v>
      </c>
      <c r="AN360" s="133">
        <f t="shared" si="3901"/>
        <v>4.97564662411824</v>
      </c>
      <c r="AO360" s="133" t="str">
        <f t="shared" si="3902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903"/>
        <v>0-03</v>
      </c>
      <c r="AW360" s="126">
        <f t="shared" si="3904"/>
        <v>0</v>
      </c>
      <c r="AX360" s="138"/>
      <c r="AY360" s="115">
        <f t="shared" si="3905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906"/>
        <v>0</v>
      </c>
      <c r="BG360" s="32">
        <v>0</v>
      </c>
      <c r="BH360" s="32">
        <f t="shared" si="3907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908"/>
        <v>2381.6</v>
      </c>
      <c r="BR360" s="95">
        <f t="shared" si="3909"/>
        <v>2110</v>
      </c>
      <c r="BS360" s="133">
        <f t="shared" si="3910"/>
        <v>2110</v>
      </c>
      <c r="BT360" s="133">
        <f t="shared" si="3910"/>
        <v>-390</v>
      </c>
      <c r="BU360" s="133">
        <f t="shared" si="3910"/>
        <v>-2890</v>
      </c>
      <c r="BV360" s="133">
        <f t="shared" si="3910"/>
        <v>-5390</v>
      </c>
      <c r="BW360" s="133">
        <f t="shared" si="3910"/>
        <v>-7298</v>
      </c>
      <c r="BX360" s="133">
        <f t="shared" si="3946"/>
        <v>-9679.6</v>
      </c>
      <c r="BY360" s="133">
        <f t="shared" si="3946"/>
        <v>-12061.2</v>
      </c>
      <c r="BZ360" s="133">
        <f t="shared" si="3946"/>
        <v>-14442.800000000001</v>
      </c>
      <c r="CA360" s="133">
        <f t="shared" si="3946"/>
        <v>-16824.400000000001</v>
      </c>
      <c r="CB360" s="133">
        <f t="shared" si="3946"/>
        <v>-19206</v>
      </c>
      <c r="CC360" s="133">
        <f t="shared" si="3946"/>
        <v>-21587.599999999999</v>
      </c>
      <c r="CD360" s="133">
        <f t="shared" si="3946"/>
        <v>-23969.199999999997</v>
      </c>
      <c r="CE360" s="133">
        <f t="shared" si="3946"/>
        <v>-26350.799999999996</v>
      </c>
      <c r="CF360" s="133">
        <f t="shared" si="3946"/>
        <v>-28732.399999999994</v>
      </c>
      <c r="CG360" s="133">
        <f t="shared" si="3946"/>
        <v>-31113.999999999993</v>
      </c>
      <c r="CH360" s="133">
        <f t="shared" si="3946"/>
        <v>-33495.599999999991</v>
      </c>
      <c r="CI360" s="133">
        <f t="shared" si="3946"/>
        <v>-35877.19999999999</v>
      </c>
      <c r="CJ360" s="133">
        <f t="shared" si="3946"/>
        <v>-38258.799999999988</v>
      </c>
      <c r="CK360" s="133">
        <f t="shared" si="3946"/>
        <v>-40640.399999999987</v>
      </c>
      <c r="CL360" s="133">
        <f t="shared" si="3946"/>
        <v>-43021.999999999985</v>
      </c>
      <c r="CM360" s="133">
        <f t="shared" si="3946"/>
        <v>-45403.599999999984</v>
      </c>
      <c r="CN360" s="133">
        <f t="shared" si="3946"/>
        <v>-47785.199999999983</v>
      </c>
      <c r="CO360" s="133">
        <f t="shared" si="3946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912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913"/>
        <v>0</v>
      </c>
      <c r="DB360" s="4">
        <f t="shared" si="3914"/>
        <v>0</v>
      </c>
      <c r="DC360" s="4">
        <f t="shared" si="3915"/>
        <v>0</v>
      </c>
      <c r="DD360" s="136">
        <f t="shared" si="3916"/>
        <v>0</v>
      </c>
      <c r="DE360" s="31">
        <v>0</v>
      </c>
      <c r="DG360" s="31">
        <v>0</v>
      </c>
      <c r="DH360" s="48">
        <f t="shared" si="3917"/>
        <v>0</v>
      </c>
      <c r="DI360" s="62">
        <v>8100.4840000000004</v>
      </c>
      <c r="DJ360" s="62">
        <v>9091.6919999999991</v>
      </c>
      <c r="DK360" s="48">
        <f t="shared" si="3918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919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920"/>
        <v>1</v>
      </c>
      <c r="DV360" s="62">
        <v>1801</v>
      </c>
      <c r="DW360" s="62">
        <v>2010.3834067971161</v>
      </c>
      <c r="DX360" s="62">
        <f t="shared" si="3921"/>
        <v>0</v>
      </c>
      <c r="DY360" s="62">
        <f t="shared" si="3922"/>
        <v>0</v>
      </c>
      <c r="DZ360" s="48">
        <f t="shared" si="3923"/>
        <v>0</v>
      </c>
      <c r="EA360" s="62">
        <f t="shared" si="3924"/>
        <v>0</v>
      </c>
      <c r="EB360" s="62">
        <f t="shared" si="3925"/>
        <v>0</v>
      </c>
      <c r="EC360" s="48">
        <f t="shared" si="3926"/>
        <v>0</v>
      </c>
      <c r="ED360" s="62">
        <f t="shared" si="3927"/>
        <v>0</v>
      </c>
      <c r="EE360" s="62">
        <f t="shared" si="3928"/>
        <v>0</v>
      </c>
      <c r="EF360" s="48">
        <f t="shared" si="3929"/>
        <v>0</v>
      </c>
      <c r="EG360" s="62">
        <f t="shared" si="3930"/>
        <v>0</v>
      </c>
      <c r="EH360" s="62">
        <f t="shared" si="3931"/>
        <v>0</v>
      </c>
      <c r="EI360" s="48">
        <f t="shared" si="3932"/>
        <v>0</v>
      </c>
      <c r="EJ360" s="62">
        <f t="shared" si="3933"/>
        <v>0</v>
      </c>
      <c r="EK360" s="62">
        <f t="shared" si="3934"/>
        <v>0</v>
      </c>
      <c r="EL360" s="48">
        <f t="shared" si="3935"/>
        <v>0</v>
      </c>
      <c r="EM360" s="62">
        <f t="shared" si="3936"/>
        <v>0</v>
      </c>
      <c r="EN360" s="62">
        <f t="shared" si="3937"/>
        <v>0</v>
      </c>
      <c r="EO360" s="48">
        <f t="shared" si="3938"/>
        <v>0</v>
      </c>
      <c r="EP360" s="62">
        <f t="shared" si="3947"/>
        <v>3175</v>
      </c>
      <c r="EQ360" s="62">
        <f t="shared" si="3947"/>
        <v>0</v>
      </c>
      <c r="ER360" s="62">
        <f t="shared" si="3947"/>
        <v>3175</v>
      </c>
      <c r="ES360" s="62">
        <f t="shared" si="3948"/>
        <v>3175</v>
      </c>
      <c r="ET360" s="62">
        <f t="shared" si="3948"/>
        <v>3175</v>
      </c>
      <c r="EU360" s="62">
        <f t="shared" si="3948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39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 t="shared" si="3622"/>
        <v>1</v>
      </c>
      <c r="FS360" s="120" t="b">
        <f t="shared" si="3623"/>
        <v>1</v>
      </c>
      <c r="FT360" s="120" t="b">
        <f t="shared" si="3624"/>
        <v>1</v>
      </c>
      <c r="FU360" s="120" t="b">
        <f t="shared" si="3625"/>
        <v>1</v>
      </c>
      <c r="FV360" s="120" t="b">
        <f t="shared" si="3626"/>
        <v>1</v>
      </c>
      <c r="FW360" s="104" t="b">
        <f t="shared" si="3637"/>
        <v>0</v>
      </c>
      <c r="FX360" s="120" t="b">
        <f t="shared" si="3940"/>
        <v>1</v>
      </c>
      <c r="FY360" s="104" t="s">
        <v>368</v>
      </c>
      <c r="FZ360" s="104" t="b">
        <f t="shared" si="3941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42"/>
        <v>1</v>
      </c>
      <c r="GI360" s="8" t="b">
        <f t="shared" si="3943"/>
        <v>0</v>
      </c>
      <c r="GJ360" s="31" t="s">
        <v>203</v>
      </c>
    </row>
    <row r="361" spans="1:193" ht="30" hidden="1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89"/>
        <v>нет минмакс</v>
      </c>
      <c r="Q361" s="95">
        <v>13</v>
      </c>
      <c r="R361" s="95">
        <f t="shared" si="3890"/>
        <v>274.3</v>
      </c>
      <c r="S361" s="114">
        <v>13</v>
      </c>
      <c r="T361" s="114">
        <v>274.3</v>
      </c>
      <c r="U361" s="131">
        <f t="shared" si="3891"/>
        <v>0</v>
      </c>
      <c r="V361" s="115">
        <f t="shared" si="3944"/>
        <v>13</v>
      </c>
      <c r="W361" s="115">
        <f t="shared" si="3892"/>
        <v>274.3</v>
      </c>
      <c r="X361" s="115">
        <f t="shared" si="3893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94"/>
        <v>0</v>
      </c>
      <c r="AF361" s="95">
        <f t="shared" si="3895"/>
        <v>0</v>
      </c>
      <c r="AG361" s="114">
        <v>0</v>
      </c>
      <c r="AH361" s="95">
        <f t="shared" si="3896"/>
        <v>13</v>
      </c>
      <c r="AI361" s="114">
        <f t="shared" si="3897"/>
        <v>274.3</v>
      </c>
      <c r="AJ361" s="114">
        <f t="shared" si="3898"/>
        <v>0</v>
      </c>
      <c r="AK361" s="114">
        <f t="shared" si="3945"/>
        <v>0</v>
      </c>
      <c r="AL361" s="114">
        <f t="shared" si="3899"/>
        <v>0</v>
      </c>
      <c r="AM361" s="114">
        <f t="shared" si="3900"/>
        <v>0</v>
      </c>
      <c r="AN361" s="133" t="str">
        <f t="shared" si="3901"/>
        <v>нет оборота</v>
      </c>
      <c r="AO361" s="133" t="str">
        <f t="shared" si="3902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903"/>
        <v>Нет планов</v>
      </c>
      <c r="AW361" s="126">
        <f t="shared" si="3904"/>
        <v>274.3</v>
      </c>
      <c r="AX361" s="14">
        <f>MONTH(BC361)-6</f>
        <v>3</v>
      </c>
      <c r="AY361" s="115">
        <f t="shared" si="3905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906"/>
        <v>0</v>
      </c>
      <c r="BG361" s="32">
        <v>0</v>
      </c>
      <c r="BH361" s="32">
        <f t="shared" si="3907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908"/>
        <v>0</v>
      </c>
      <c r="BR361" s="95">
        <f t="shared" si="3909"/>
        <v>13</v>
      </c>
      <c r="BS361" s="133">
        <f t="shared" si="3910"/>
        <v>13</v>
      </c>
      <c r="BT361" s="133">
        <f t="shared" si="3910"/>
        <v>13</v>
      </c>
      <c r="BU361" s="133">
        <f t="shared" si="3910"/>
        <v>13</v>
      </c>
      <c r="BV361" s="133">
        <f t="shared" si="3910"/>
        <v>13</v>
      </c>
      <c r="BW361" s="133">
        <f t="shared" si="3910"/>
        <v>13</v>
      </c>
      <c r="BX361" s="133">
        <f t="shared" si="3946"/>
        <v>13</v>
      </c>
      <c r="BY361" s="133">
        <f t="shared" si="3946"/>
        <v>13</v>
      </c>
      <c r="BZ361" s="133">
        <f t="shared" si="3946"/>
        <v>13</v>
      </c>
      <c r="CA361" s="133">
        <f t="shared" ref="CA361:CO361" si="3949">BZ361-$BQ361</f>
        <v>13</v>
      </c>
      <c r="CB361" s="133">
        <f t="shared" si="3949"/>
        <v>13</v>
      </c>
      <c r="CC361" s="133">
        <f t="shared" si="3949"/>
        <v>13</v>
      </c>
      <c r="CD361" s="133">
        <f t="shared" si="3949"/>
        <v>13</v>
      </c>
      <c r="CE361" s="133">
        <f t="shared" si="3949"/>
        <v>13</v>
      </c>
      <c r="CF361" s="133">
        <f t="shared" si="3949"/>
        <v>13</v>
      </c>
      <c r="CG361" s="133">
        <f t="shared" si="3949"/>
        <v>13</v>
      </c>
      <c r="CH361" s="133">
        <f t="shared" si="3949"/>
        <v>13</v>
      </c>
      <c r="CI361" s="133">
        <f t="shared" si="3949"/>
        <v>13</v>
      </c>
      <c r="CJ361" s="133">
        <f t="shared" si="3949"/>
        <v>13</v>
      </c>
      <c r="CK361" s="133">
        <f t="shared" si="3949"/>
        <v>13</v>
      </c>
      <c r="CL361" s="133">
        <f t="shared" si="3949"/>
        <v>13</v>
      </c>
      <c r="CM361" s="133">
        <f t="shared" si="3949"/>
        <v>13</v>
      </c>
      <c r="CN361" s="133">
        <f t="shared" si="3949"/>
        <v>13</v>
      </c>
      <c r="CO361" s="133">
        <f t="shared" si="3949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912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913"/>
        <v>0</v>
      </c>
      <c r="DB361" s="4">
        <f t="shared" si="3914"/>
        <v>0</v>
      </c>
      <c r="DC361" s="4">
        <f t="shared" si="3915"/>
        <v>0</v>
      </c>
      <c r="DD361" s="136">
        <f t="shared" si="3916"/>
        <v>0</v>
      </c>
      <c r="DE361" s="31">
        <v>0</v>
      </c>
      <c r="DG361" s="31">
        <v>0</v>
      </c>
      <c r="DH361" s="48">
        <f t="shared" si="3917"/>
        <v>0</v>
      </c>
      <c r="DI361" s="62">
        <v>13</v>
      </c>
      <c r="DJ361" s="62">
        <v>274.29000000000002</v>
      </c>
      <c r="DK361" s="48">
        <f t="shared" si="3918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919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920"/>
        <v>0</v>
      </c>
      <c r="DV361" s="62">
        <v>0</v>
      </c>
      <c r="DW361" s="62">
        <v>0</v>
      </c>
      <c r="DX361" s="62">
        <f t="shared" si="3921"/>
        <v>0</v>
      </c>
      <c r="DY361" s="62">
        <f t="shared" si="3922"/>
        <v>0</v>
      </c>
      <c r="DZ361" s="48">
        <f t="shared" si="3923"/>
        <v>0</v>
      </c>
      <c r="EA361" s="62">
        <f t="shared" si="3924"/>
        <v>0</v>
      </c>
      <c r="EB361" s="62">
        <f t="shared" si="3925"/>
        <v>0</v>
      </c>
      <c r="EC361" s="48">
        <f t="shared" si="3926"/>
        <v>0</v>
      </c>
      <c r="ED361" s="62">
        <f t="shared" si="3927"/>
        <v>0</v>
      </c>
      <c r="EE361" s="62">
        <f t="shared" si="3928"/>
        <v>0</v>
      </c>
      <c r="EF361" s="48">
        <f t="shared" si="3929"/>
        <v>0</v>
      </c>
      <c r="EG361" s="62">
        <f t="shared" si="3930"/>
        <v>0</v>
      </c>
      <c r="EH361" s="62">
        <f t="shared" si="3931"/>
        <v>0</v>
      </c>
      <c r="EI361" s="48">
        <f t="shared" si="3932"/>
        <v>0</v>
      </c>
      <c r="EJ361" s="62">
        <f t="shared" si="3933"/>
        <v>0</v>
      </c>
      <c r="EK361" s="62">
        <f t="shared" si="3934"/>
        <v>0</v>
      </c>
      <c r="EL361" s="48">
        <f t="shared" si="3935"/>
        <v>0</v>
      </c>
      <c r="EM361" s="62">
        <f t="shared" si="3936"/>
        <v>0</v>
      </c>
      <c r="EN361" s="62">
        <f t="shared" si="3937"/>
        <v>0</v>
      </c>
      <c r="EO361" s="48">
        <f t="shared" si="3938"/>
        <v>0</v>
      </c>
      <c r="EP361" s="62">
        <f t="shared" si="3947"/>
        <v>0</v>
      </c>
      <c r="EQ361" s="62">
        <f t="shared" si="3947"/>
        <v>0</v>
      </c>
      <c r="ER361" s="62">
        <f t="shared" si="3947"/>
        <v>0</v>
      </c>
      <c r="ES361" s="62">
        <f t="shared" si="3948"/>
        <v>0</v>
      </c>
      <c r="ET361" s="62">
        <f t="shared" si="3948"/>
        <v>0</v>
      </c>
      <c r="EU361" s="62">
        <f t="shared" si="3948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39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 t="shared" si="3622"/>
        <v>1</v>
      </c>
      <c r="FS361" s="120" t="b">
        <f t="shared" si="3623"/>
        <v>1</v>
      </c>
      <c r="FT361" s="120" t="b">
        <f t="shared" si="3624"/>
        <v>1</v>
      </c>
      <c r="FU361" s="120" t="b">
        <f t="shared" si="3625"/>
        <v>1</v>
      </c>
      <c r="FV361" s="120" t="b">
        <f t="shared" si="3626"/>
        <v>1</v>
      </c>
      <c r="FW361" s="104" t="b">
        <f t="shared" si="3637"/>
        <v>0</v>
      </c>
      <c r="FX361" s="120" t="b">
        <f t="shared" si="3940"/>
        <v>1</v>
      </c>
      <c r="FY361" s="104" t="s">
        <v>230</v>
      </c>
      <c r="FZ361" s="104" t="b">
        <f t="shared" si="3941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42"/>
        <v>1</v>
      </c>
      <c r="GI361" s="8" t="b">
        <f t="shared" si="3943"/>
        <v>0</v>
      </c>
      <c r="GJ361" s="31" t="s">
        <v>203</v>
      </c>
      <c r="GK361">
        <v>1</v>
      </c>
    </row>
    <row r="362" spans="1:193" ht="30" hidden="1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50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51">Q362*FH362</f>
        <v>170508.84070312502</v>
      </c>
      <c r="S362" s="114">
        <v>0.6809999942779541</v>
      </c>
      <c r="T362" s="114">
        <v>99.242129166126247</v>
      </c>
      <c r="U362" s="131">
        <f t="shared" ref="U362:U368" si="3952">IFERROR(ROUNDUP(S362/$EX362,0)*$EY362,0)</f>
        <v>0</v>
      </c>
      <c r="V362" s="115">
        <f t="shared" si="3944"/>
        <v>144.71400451660156</v>
      </c>
      <c r="W362" s="115">
        <f t="shared" ref="W362:W368" si="3953">V362*FH362</f>
        <v>19032.785874023441</v>
      </c>
      <c r="X362" s="115">
        <f t="shared" ref="X362:X368" si="3954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55">AA362*FH362</f>
        <v>0</v>
      </c>
      <c r="AF362" s="95">
        <f t="shared" ref="AF362:AF368" si="3956">AB362*FH362</f>
        <v>0</v>
      </c>
      <c r="AG362" s="114">
        <v>0</v>
      </c>
      <c r="AH362" s="95">
        <f t="shared" ref="AH362:AH368" si="3957">V362-AG362</f>
        <v>144.71400451660156</v>
      </c>
      <c r="AI362" s="114">
        <f t="shared" ref="AI362:AI368" si="3958">IF(AH362&gt;0,AH362*FH362,0)</f>
        <v>19032.785874023441</v>
      </c>
      <c r="AJ362" s="114">
        <f t="shared" ref="AJ362:AJ368" si="3959">CU362</f>
        <v>31276</v>
      </c>
      <c r="AK362" s="114">
        <f t="shared" si="3945"/>
        <v>97433</v>
      </c>
      <c r="AL362" s="114">
        <f t="shared" ref="AL362:AL368" si="3960">SUM(CP362:CU362)</f>
        <v>180900</v>
      </c>
      <c r="AM362" s="114">
        <f t="shared" ref="AM362:AM368" si="3961">SUM(BK362:BP362)</f>
        <v>0</v>
      </c>
      <c r="AN362" s="133" t="str">
        <f t="shared" ref="AN362:AN368" si="3962">IFERROR(S362/BQ362*30,"нет оборота")</f>
        <v>нет оборота</v>
      </c>
      <c r="AO362" s="133" t="str">
        <f t="shared" ref="AO362:AO368" si="3963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64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65">IF(AT362="Да",W362,0)</f>
        <v>19032.785874023441</v>
      </c>
      <c r="AX362" s="138"/>
      <c r="AY362" s="115">
        <f t="shared" ref="AY362:AY368" si="3966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67">BE362*FH362</f>
        <v>0</v>
      </c>
      <c r="BG362" s="32">
        <v>0</v>
      </c>
      <c r="BH362" s="32">
        <f t="shared" ref="BH362:BH368" si="3968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69">IF(COUNTIF(BK362:BP362,"&gt;0")=0,0,SUM(BK362:BP362)/COUNTIF(BK362:BP362,"&gt;0"))</f>
        <v>0</v>
      </c>
      <c r="BR362" s="95">
        <f t="shared" ref="BR362:BR368" si="3970">IF(OR(Q362=0,SUM(BK362:BP362)=0,V362&gt;Q362),V362-BK362,Q362-BK362)</f>
        <v>144.71400451660156</v>
      </c>
      <c r="BS362" s="133">
        <f t="shared" ref="BS362:BW366" si="3971">BR362-BL362</f>
        <v>144.71400451660156</v>
      </c>
      <c r="BT362" s="133">
        <f t="shared" si="3971"/>
        <v>144.71400451660156</v>
      </c>
      <c r="BU362" s="133">
        <f t="shared" si="3971"/>
        <v>144.71400451660156</v>
      </c>
      <c r="BV362" s="133">
        <f t="shared" si="3971"/>
        <v>144.71400451660156</v>
      </c>
      <c r="BW362" s="133">
        <f t="shared" si="3971"/>
        <v>144.71400451660156</v>
      </c>
      <c r="BX362" s="133">
        <f t="shared" ref="BX362:CO362" si="3972">BW362-$BQ362</f>
        <v>144.71400451660156</v>
      </c>
      <c r="BY362" s="133">
        <f t="shared" si="3972"/>
        <v>144.71400451660156</v>
      </c>
      <c r="BZ362" s="133">
        <f t="shared" si="3972"/>
        <v>144.71400451660156</v>
      </c>
      <c r="CA362" s="133">
        <f t="shared" si="3972"/>
        <v>144.71400451660156</v>
      </c>
      <c r="CB362" s="133">
        <f t="shared" si="3972"/>
        <v>144.71400451660156</v>
      </c>
      <c r="CC362" s="133">
        <f t="shared" si="3972"/>
        <v>144.71400451660156</v>
      </c>
      <c r="CD362" s="133">
        <f t="shared" si="3972"/>
        <v>144.71400451660156</v>
      </c>
      <c r="CE362" s="133">
        <f t="shared" si="3972"/>
        <v>144.71400451660156</v>
      </c>
      <c r="CF362" s="133">
        <f t="shared" si="3972"/>
        <v>144.71400451660156</v>
      </c>
      <c r="CG362" s="133">
        <f t="shared" si="3972"/>
        <v>144.71400451660156</v>
      </c>
      <c r="CH362" s="133">
        <f t="shared" si="3972"/>
        <v>144.71400451660156</v>
      </c>
      <c r="CI362" s="133">
        <f t="shared" si="3972"/>
        <v>144.71400451660156</v>
      </c>
      <c r="CJ362" s="133">
        <f t="shared" si="3972"/>
        <v>144.71400451660156</v>
      </c>
      <c r="CK362" s="133">
        <f t="shared" si="3972"/>
        <v>144.71400451660156</v>
      </c>
      <c r="CL362" s="133">
        <f t="shared" si="3972"/>
        <v>144.71400451660156</v>
      </c>
      <c r="CM362" s="133">
        <f t="shared" si="3972"/>
        <v>144.71400451660156</v>
      </c>
      <c r="CN362" s="133">
        <f t="shared" si="3972"/>
        <v>144.71400451660156</v>
      </c>
      <c r="CO362" s="133">
        <f t="shared" si="3972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73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74">IFERROR(CZ362/CY362,0)</f>
        <v>0</v>
      </c>
      <c r="DB362" s="4">
        <f t="shared" ref="DB362:DB366" si="3975">CY362*FH362</f>
        <v>0</v>
      </c>
      <c r="DC362" s="4">
        <f t="shared" ref="DC362:DC366" si="3976">CZ362*FH362</f>
        <v>0</v>
      </c>
      <c r="DD362" s="136">
        <f t="shared" ref="DD362:DD366" si="3977">IFERROR(DC362/DB362,0)</f>
        <v>0</v>
      </c>
      <c r="DE362" s="31">
        <v>0</v>
      </c>
      <c r="DG362" s="31">
        <v>0</v>
      </c>
      <c r="DH362" s="48">
        <f t="shared" ref="DH362:DH368" si="3978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79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80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81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82">$DF362*BK362/30</f>
        <v>0</v>
      </c>
      <c r="DY362" s="62">
        <f t="shared" ref="DY362:DY368" si="3983">DX362*$FH362</f>
        <v>0</v>
      </c>
      <c r="DZ362" s="48">
        <f t="shared" ref="DZ362:DZ368" si="3984">IFERROR(ROUNDUP(DX362/$EX362,0)*$EY362,0)</f>
        <v>0</v>
      </c>
      <c r="EA362" s="62">
        <f t="shared" ref="EA362:EA368" si="3985">$DF362*BL362/30</f>
        <v>0</v>
      </c>
      <c r="EB362" s="62">
        <f t="shared" ref="EB362:EB368" si="3986">EA362*$FH362</f>
        <v>0</v>
      </c>
      <c r="EC362" s="48">
        <f t="shared" ref="EC362:EC368" si="3987">IFERROR(ROUNDUP(EA362/$EX362,0)*$EY362,0)</f>
        <v>0</v>
      </c>
      <c r="ED362" s="62">
        <f t="shared" ref="ED362:ED368" si="3988">$DF362*BM362/30</f>
        <v>0</v>
      </c>
      <c r="EE362" s="62">
        <f t="shared" ref="EE362:EE368" si="3989">ED362*$FH362</f>
        <v>0</v>
      </c>
      <c r="EF362" s="48">
        <f t="shared" ref="EF362:EF368" si="3990">IFERROR(ROUNDUP(ED362/$EX362,0)*$EY362,0)</f>
        <v>0</v>
      </c>
      <c r="EG362" s="62">
        <f t="shared" ref="EG362:EG368" si="3991">$DF362*BN362/30</f>
        <v>0</v>
      </c>
      <c r="EH362" s="62">
        <f t="shared" ref="EH362:EH368" si="3992">EG362*$FH362</f>
        <v>0</v>
      </c>
      <c r="EI362" s="48">
        <f t="shared" ref="EI362:EI368" si="3993">IFERROR(ROUNDUP(EG362/$EX362,0)*$EY362,0)</f>
        <v>0</v>
      </c>
      <c r="EJ362" s="62">
        <f t="shared" ref="EJ362:EJ368" si="3994">$DF362*BO362/30</f>
        <v>0</v>
      </c>
      <c r="EK362" s="62">
        <f t="shared" ref="EK362:EK368" si="3995">EJ362*$FH362</f>
        <v>0</v>
      </c>
      <c r="EL362" s="48">
        <f t="shared" ref="EL362:EL368" si="3996">IFERROR(ROUNDUP(EJ362/$EX362,0)*$EY362,0)</f>
        <v>0</v>
      </c>
      <c r="EM362" s="62">
        <f t="shared" ref="EM362:EM368" si="3997">$DF362*BP362/30</f>
        <v>0</v>
      </c>
      <c r="EN362" s="62">
        <f t="shared" ref="EN362:EN368" si="3998">EM362*$FH362</f>
        <v>0</v>
      </c>
      <c r="EO362" s="48">
        <f t="shared" ref="EO362:EO368" si="3999">IFERROR(ROUNDUP(EM362/$EX362,0)*$EY362,0)</f>
        <v>0</v>
      </c>
      <c r="EP362" s="62">
        <f t="shared" si="3947"/>
        <v>0</v>
      </c>
      <c r="EQ362" s="62">
        <f t="shared" si="3947"/>
        <v>0</v>
      </c>
      <c r="ER362" s="62">
        <f t="shared" si="3947"/>
        <v>0</v>
      </c>
      <c r="ES362" s="62">
        <f t="shared" si="3948"/>
        <v>0</v>
      </c>
      <c r="ET362" s="62">
        <f t="shared" si="3948"/>
        <v>0</v>
      </c>
      <c r="EU362" s="62">
        <f t="shared" si="3948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4000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 t="shared" si="3622"/>
        <v>1</v>
      </c>
      <c r="FS362" s="120" t="b">
        <f t="shared" si="3623"/>
        <v>1</v>
      </c>
      <c r="FT362" s="120" t="b">
        <f t="shared" si="3624"/>
        <v>1</v>
      </c>
      <c r="FU362" s="120" t="b">
        <f t="shared" si="3625"/>
        <v>1</v>
      </c>
      <c r="FV362" s="120" t="b">
        <f t="shared" si="3626"/>
        <v>1</v>
      </c>
      <c r="FW362" s="104" t="b">
        <f t="shared" si="3637"/>
        <v>0</v>
      </c>
      <c r="FX362" s="120" t="b">
        <f t="shared" ref="FX362:FX368" si="4001">EXACT(FQ362,BI362)</f>
        <v>1</v>
      </c>
      <c r="FY362" s="104" t="s">
        <v>368</v>
      </c>
      <c r="FZ362" s="104" t="b">
        <f t="shared" ref="FZ362:FZ368" si="4002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4003">EXACT(GD362,C362)</f>
        <v>1</v>
      </c>
      <c r="GI362" s="8" t="b">
        <f t="shared" ref="GI362:GI368" si="4004">EXACT(GG362,G362)</f>
        <v>0</v>
      </c>
      <c r="GJ362" s="31" t="s">
        <v>203</v>
      </c>
    </row>
    <row r="363" spans="1:193" hidden="1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50"/>
        <v>нет минмакс</v>
      </c>
      <c r="Q363" s="95">
        <v>0</v>
      </c>
      <c r="R363" s="95">
        <f t="shared" si="3951"/>
        <v>0</v>
      </c>
      <c r="S363" s="114">
        <v>80</v>
      </c>
      <c r="T363" s="114">
        <v>68.8</v>
      </c>
      <c r="U363" s="131">
        <f t="shared" si="3952"/>
        <v>1</v>
      </c>
      <c r="V363" s="115">
        <f t="shared" ref="V363:V368" si="4005">SUM(Z363:AD363)</f>
        <v>0</v>
      </c>
      <c r="W363" s="115">
        <f t="shared" si="3953"/>
        <v>0</v>
      </c>
      <c r="X363" s="115">
        <f t="shared" si="3954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55"/>
        <v>0</v>
      </c>
      <c r="AF363" s="95">
        <f t="shared" si="3956"/>
        <v>0</v>
      </c>
      <c r="AG363" s="114">
        <v>0</v>
      </c>
      <c r="AH363" s="95">
        <f t="shared" si="3957"/>
        <v>0</v>
      </c>
      <c r="AI363" s="114">
        <f t="shared" si="3958"/>
        <v>0</v>
      </c>
      <c r="AJ363" s="114">
        <f t="shared" si="3959"/>
        <v>0</v>
      </c>
      <c r="AK363" s="114">
        <f t="shared" ref="AK363:AK368" si="4006">SUM(CS363:CU363)</f>
        <v>80</v>
      </c>
      <c r="AL363" s="114">
        <f t="shared" si="3960"/>
        <v>80</v>
      </c>
      <c r="AM363" s="114">
        <f t="shared" si="3961"/>
        <v>0</v>
      </c>
      <c r="AN363" s="133" t="str">
        <f t="shared" si="3962"/>
        <v>нет оборота</v>
      </c>
      <c r="AO363" s="133" t="str">
        <f t="shared" si="3963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64"/>
        <v>нет остатка</v>
      </c>
      <c r="AW363" s="126">
        <f t="shared" si="3965"/>
        <v>0</v>
      </c>
      <c r="AX363" s="138"/>
      <c r="AY363" s="115">
        <f t="shared" si="3966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67"/>
        <v>0</v>
      </c>
      <c r="BG363" s="32">
        <v>0</v>
      </c>
      <c r="BH363" s="32">
        <f t="shared" si="3968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69"/>
        <v>0</v>
      </c>
      <c r="BR363" s="95">
        <f t="shared" si="3970"/>
        <v>0</v>
      </c>
      <c r="BS363" s="133">
        <f t="shared" si="3971"/>
        <v>0</v>
      </c>
      <c r="BT363" s="133">
        <f t="shared" si="3971"/>
        <v>0</v>
      </c>
      <c r="BU363" s="133">
        <f t="shared" si="3971"/>
        <v>0</v>
      </c>
      <c r="BV363" s="133">
        <f t="shared" si="3971"/>
        <v>0</v>
      </c>
      <c r="BW363" s="133">
        <f t="shared" si="3971"/>
        <v>0</v>
      </c>
      <c r="BX363" s="133">
        <f t="shared" ref="BX363:CO365" si="4007">BW363-$BQ363</f>
        <v>0</v>
      </c>
      <c r="BY363" s="133">
        <f t="shared" si="4007"/>
        <v>0</v>
      </c>
      <c r="BZ363" s="133">
        <f t="shared" si="4007"/>
        <v>0</v>
      </c>
      <c r="CA363" s="133">
        <f t="shared" si="4007"/>
        <v>0</v>
      </c>
      <c r="CB363" s="133">
        <f t="shared" si="4007"/>
        <v>0</v>
      </c>
      <c r="CC363" s="133">
        <f t="shared" si="4007"/>
        <v>0</v>
      </c>
      <c r="CD363" s="133">
        <f t="shared" si="4007"/>
        <v>0</v>
      </c>
      <c r="CE363" s="133">
        <f t="shared" si="4007"/>
        <v>0</v>
      </c>
      <c r="CF363" s="133">
        <f t="shared" si="4007"/>
        <v>0</v>
      </c>
      <c r="CG363" s="133">
        <f t="shared" si="4007"/>
        <v>0</v>
      </c>
      <c r="CH363" s="133">
        <f t="shared" si="4007"/>
        <v>0</v>
      </c>
      <c r="CI363" s="133">
        <f t="shared" si="4007"/>
        <v>0</v>
      </c>
      <c r="CJ363" s="133">
        <f t="shared" si="4007"/>
        <v>0</v>
      </c>
      <c r="CK363" s="133">
        <f t="shared" si="4007"/>
        <v>0</v>
      </c>
      <c r="CL363" s="133">
        <f t="shared" si="4007"/>
        <v>0</v>
      </c>
      <c r="CM363" s="133">
        <f t="shared" si="4007"/>
        <v>0</v>
      </c>
      <c r="CN363" s="133">
        <f t="shared" si="4007"/>
        <v>0</v>
      </c>
      <c r="CO363" s="133">
        <f t="shared" si="4007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73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74"/>
        <v>0</v>
      </c>
      <c r="DB363" s="4">
        <f t="shared" si="3975"/>
        <v>0</v>
      </c>
      <c r="DC363" s="4">
        <f t="shared" si="3976"/>
        <v>0</v>
      </c>
      <c r="DD363" s="136">
        <f t="shared" si="3977"/>
        <v>0</v>
      </c>
      <c r="DE363" s="31">
        <v>0</v>
      </c>
      <c r="DG363" s="31">
        <v>0</v>
      </c>
      <c r="DH363" s="48">
        <f t="shared" si="3978"/>
        <v>0</v>
      </c>
      <c r="DI363" s="62">
        <v>80</v>
      </c>
      <c r="DJ363" s="62">
        <v>68.5</v>
      </c>
      <c r="DK363" s="48">
        <f t="shared" si="3979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80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81"/>
        <v>1</v>
      </c>
      <c r="DV363" s="62">
        <v>0</v>
      </c>
      <c r="DW363" s="62">
        <v>0</v>
      </c>
      <c r="DX363" s="62">
        <f t="shared" si="3982"/>
        <v>0</v>
      </c>
      <c r="DY363" s="62">
        <f t="shared" si="3983"/>
        <v>0</v>
      </c>
      <c r="DZ363" s="48">
        <f t="shared" si="3984"/>
        <v>0</v>
      </c>
      <c r="EA363" s="62">
        <f t="shared" si="3985"/>
        <v>0</v>
      </c>
      <c r="EB363" s="62">
        <f t="shared" si="3986"/>
        <v>0</v>
      </c>
      <c r="EC363" s="48">
        <f t="shared" si="3987"/>
        <v>0</v>
      </c>
      <c r="ED363" s="62">
        <f t="shared" si="3988"/>
        <v>0</v>
      </c>
      <c r="EE363" s="62">
        <f t="shared" si="3989"/>
        <v>0</v>
      </c>
      <c r="EF363" s="48">
        <f t="shared" si="3990"/>
        <v>0</v>
      </c>
      <c r="EG363" s="62">
        <f t="shared" si="3991"/>
        <v>0</v>
      </c>
      <c r="EH363" s="62">
        <f t="shared" si="3992"/>
        <v>0</v>
      </c>
      <c r="EI363" s="48">
        <f t="shared" si="3993"/>
        <v>0</v>
      </c>
      <c r="EJ363" s="62">
        <f t="shared" si="3994"/>
        <v>0</v>
      </c>
      <c r="EK363" s="62">
        <f t="shared" si="3995"/>
        <v>0</v>
      </c>
      <c r="EL363" s="48">
        <f t="shared" si="3996"/>
        <v>0</v>
      </c>
      <c r="EM363" s="62">
        <f t="shared" si="3997"/>
        <v>0</v>
      </c>
      <c r="EN363" s="62">
        <f t="shared" si="3998"/>
        <v>0</v>
      </c>
      <c r="EO363" s="48">
        <f t="shared" si="3999"/>
        <v>0</v>
      </c>
      <c r="EP363" s="62">
        <f t="shared" si="3947"/>
        <v>0</v>
      </c>
      <c r="EQ363" s="62">
        <f t="shared" si="3947"/>
        <v>0</v>
      </c>
      <c r="ER363" s="62">
        <f t="shared" si="3947"/>
        <v>0</v>
      </c>
      <c r="ES363" s="62">
        <f t="shared" si="3948"/>
        <v>0</v>
      </c>
      <c r="ET363" s="62">
        <f t="shared" si="3948"/>
        <v>0</v>
      </c>
      <c r="EU363" s="62">
        <f t="shared" si="3948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4000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 t="shared" si="3622"/>
        <v>1</v>
      </c>
      <c r="FS363" s="120" t="b">
        <f t="shared" si="3623"/>
        <v>1</v>
      </c>
      <c r="FT363" s="120" t="b">
        <f t="shared" si="3624"/>
        <v>1</v>
      </c>
      <c r="FU363" s="120" t="b">
        <f t="shared" si="3625"/>
        <v>1</v>
      </c>
      <c r="FV363" s="120" t="b">
        <f t="shared" si="3626"/>
        <v>1</v>
      </c>
      <c r="FW363" s="104" t="b">
        <f t="shared" si="3637"/>
        <v>0</v>
      </c>
      <c r="FX363" s="120" t="b">
        <f t="shared" si="4001"/>
        <v>1</v>
      </c>
      <c r="FY363" s="104" t="s">
        <v>368</v>
      </c>
      <c r="FZ363" s="104" t="b">
        <f t="shared" si="4002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4003"/>
        <v>1</v>
      </c>
      <c r="GI363" s="8" t="b">
        <f t="shared" si="4004"/>
        <v>0</v>
      </c>
      <c r="GJ363" s="31" t="s">
        <v>203</v>
      </c>
    </row>
    <row r="364" spans="1:193" ht="30" hidden="1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50"/>
        <v>нет минмакс</v>
      </c>
      <c r="Q364" s="95">
        <v>518</v>
      </c>
      <c r="R364" s="95">
        <f t="shared" si="3951"/>
        <v>74913.16</v>
      </c>
      <c r="S364" s="114">
        <v>0.38600000739097595</v>
      </c>
      <c r="T364" s="114">
        <v>59.401541137397281</v>
      </c>
      <c r="U364" s="131">
        <f t="shared" si="3952"/>
        <v>0</v>
      </c>
      <c r="V364" s="115">
        <f t="shared" si="4005"/>
        <v>73.415000915527344</v>
      </c>
      <c r="W364" s="115">
        <f t="shared" si="3953"/>
        <v>10617.277432403565</v>
      </c>
      <c r="X364" s="115">
        <f t="shared" si="3954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55"/>
        <v>0</v>
      </c>
      <c r="AF364" s="95">
        <f t="shared" si="3956"/>
        <v>0</v>
      </c>
      <c r="AG364" s="114">
        <v>0</v>
      </c>
      <c r="AH364" s="95">
        <f t="shared" si="3957"/>
        <v>73.415000915527344</v>
      </c>
      <c r="AI364" s="114">
        <f t="shared" si="3958"/>
        <v>10617.277432403565</v>
      </c>
      <c r="AJ364" s="114">
        <f t="shared" si="3959"/>
        <v>0</v>
      </c>
      <c r="AK364" s="114">
        <f t="shared" si="4006"/>
        <v>6630</v>
      </c>
      <c r="AL364" s="114">
        <f t="shared" si="3960"/>
        <v>10292</v>
      </c>
      <c r="AM364" s="114">
        <f t="shared" si="3961"/>
        <v>0</v>
      </c>
      <c r="AN364" s="133" t="str">
        <f t="shared" si="3962"/>
        <v>нет оборота</v>
      </c>
      <c r="AO364" s="133" t="str">
        <f t="shared" si="3963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64"/>
        <v>Нет планов</v>
      </c>
      <c r="AW364" s="126">
        <f t="shared" si="3965"/>
        <v>10617.277432403565</v>
      </c>
      <c r="AX364" s="138"/>
      <c r="AY364" s="115">
        <f t="shared" si="3966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67"/>
        <v>0</v>
      </c>
      <c r="BG364" s="32">
        <v>0</v>
      </c>
      <c r="BH364" s="32">
        <f t="shared" si="3968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69"/>
        <v>0</v>
      </c>
      <c r="BR364" s="95">
        <f t="shared" si="3970"/>
        <v>73.415000915527344</v>
      </c>
      <c r="BS364" s="133">
        <f t="shared" si="3971"/>
        <v>73.415000915527344</v>
      </c>
      <c r="BT364" s="133">
        <f t="shared" si="3971"/>
        <v>73.415000915527344</v>
      </c>
      <c r="BU364" s="133">
        <f t="shared" si="3971"/>
        <v>73.415000915527344</v>
      </c>
      <c r="BV364" s="133">
        <f t="shared" si="3971"/>
        <v>73.415000915527344</v>
      </c>
      <c r="BW364" s="133">
        <f t="shared" si="3971"/>
        <v>73.415000915527344</v>
      </c>
      <c r="BX364" s="133">
        <f t="shared" si="4007"/>
        <v>73.415000915527344</v>
      </c>
      <c r="BY364" s="133">
        <f t="shared" si="4007"/>
        <v>73.415000915527344</v>
      </c>
      <c r="BZ364" s="133">
        <f t="shared" si="4007"/>
        <v>73.415000915527344</v>
      </c>
      <c r="CA364" s="133">
        <f t="shared" si="4007"/>
        <v>73.415000915527344</v>
      </c>
      <c r="CB364" s="133">
        <f t="shared" si="4007"/>
        <v>73.415000915527344</v>
      </c>
      <c r="CC364" s="133">
        <f t="shared" si="4007"/>
        <v>73.415000915527344</v>
      </c>
      <c r="CD364" s="133">
        <f t="shared" si="4007"/>
        <v>73.415000915527344</v>
      </c>
      <c r="CE364" s="133">
        <f t="shared" si="4007"/>
        <v>73.415000915527344</v>
      </c>
      <c r="CF364" s="133">
        <f t="shared" si="4007"/>
        <v>73.415000915527344</v>
      </c>
      <c r="CG364" s="133">
        <f t="shared" si="4007"/>
        <v>73.415000915527344</v>
      </c>
      <c r="CH364" s="133">
        <f t="shared" si="4007"/>
        <v>73.415000915527344</v>
      </c>
      <c r="CI364" s="133">
        <f t="shared" si="4007"/>
        <v>73.415000915527344</v>
      </c>
      <c r="CJ364" s="133">
        <f t="shared" si="4007"/>
        <v>73.415000915527344</v>
      </c>
      <c r="CK364" s="133">
        <f t="shared" si="4007"/>
        <v>73.415000915527344</v>
      </c>
      <c r="CL364" s="133">
        <f t="shared" si="4007"/>
        <v>73.415000915527344</v>
      </c>
      <c r="CM364" s="133">
        <f t="shared" si="4007"/>
        <v>73.415000915527344</v>
      </c>
      <c r="CN364" s="133">
        <f t="shared" si="4007"/>
        <v>73.415000915527344</v>
      </c>
      <c r="CO364" s="133">
        <f t="shared" si="4007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73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74"/>
        <v>0</v>
      </c>
      <c r="DB364" s="4">
        <f t="shared" si="3975"/>
        <v>0</v>
      </c>
      <c r="DC364" s="4">
        <f t="shared" si="3976"/>
        <v>0</v>
      </c>
      <c r="DD364" s="136">
        <f t="shared" si="3977"/>
        <v>0</v>
      </c>
      <c r="DE364" s="31">
        <v>0</v>
      </c>
      <c r="DG364" s="31">
        <v>0</v>
      </c>
      <c r="DH364" s="48">
        <f t="shared" si="3978"/>
        <v>0</v>
      </c>
      <c r="DI364" s="62">
        <v>814.529</v>
      </c>
      <c r="DJ364" s="62">
        <v>121697.02</v>
      </c>
      <c r="DK364" s="48">
        <f t="shared" si="3979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80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81"/>
        <v>0</v>
      </c>
      <c r="DV364" s="62">
        <v>3981.6889999999999</v>
      </c>
      <c r="DW364" s="62">
        <v>608631.62710830383</v>
      </c>
      <c r="DX364" s="62">
        <f t="shared" si="3982"/>
        <v>0</v>
      </c>
      <c r="DY364" s="62">
        <f t="shared" si="3983"/>
        <v>0</v>
      </c>
      <c r="DZ364" s="48">
        <f t="shared" si="3984"/>
        <v>0</v>
      </c>
      <c r="EA364" s="62">
        <f t="shared" si="3985"/>
        <v>0</v>
      </c>
      <c r="EB364" s="62">
        <f t="shared" si="3986"/>
        <v>0</v>
      </c>
      <c r="EC364" s="48">
        <f t="shared" si="3987"/>
        <v>0</v>
      </c>
      <c r="ED364" s="62">
        <f t="shared" si="3988"/>
        <v>0</v>
      </c>
      <c r="EE364" s="62">
        <f t="shared" si="3989"/>
        <v>0</v>
      </c>
      <c r="EF364" s="48">
        <f t="shared" si="3990"/>
        <v>0</v>
      </c>
      <c r="EG364" s="62">
        <f t="shared" si="3991"/>
        <v>0</v>
      </c>
      <c r="EH364" s="62">
        <f t="shared" si="3992"/>
        <v>0</v>
      </c>
      <c r="EI364" s="48">
        <f t="shared" si="3993"/>
        <v>0</v>
      </c>
      <c r="EJ364" s="62">
        <f t="shared" si="3994"/>
        <v>0</v>
      </c>
      <c r="EK364" s="62">
        <f t="shared" si="3995"/>
        <v>0</v>
      </c>
      <c r="EL364" s="48">
        <f t="shared" si="3996"/>
        <v>0</v>
      </c>
      <c r="EM364" s="62">
        <f t="shared" si="3997"/>
        <v>0</v>
      </c>
      <c r="EN364" s="62">
        <f t="shared" si="3998"/>
        <v>0</v>
      </c>
      <c r="EO364" s="48">
        <f t="shared" si="3999"/>
        <v>0</v>
      </c>
      <c r="EP364" s="62">
        <f t="shared" si="3947"/>
        <v>0</v>
      </c>
      <c r="EQ364" s="62">
        <f t="shared" si="3947"/>
        <v>0</v>
      </c>
      <c r="ER364" s="62">
        <f t="shared" si="3947"/>
        <v>0</v>
      </c>
      <c r="ES364" s="62">
        <f t="shared" si="3948"/>
        <v>0</v>
      </c>
      <c r="ET364" s="62">
        <f t="shared" si="3948"/>
        <v>0</v>
      </c>
      <c r="EU364" s="62">
        <f t="shared" si="3948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4000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 t="shared" si="3622"/>
        <v>1</v>
      </c>
      <c r="FS364" s="120" t="b">
        <f t="shared" si="3623"/>
        <v>1</v>
      </c>
      <c r="FT364" s="120" t="b">
        <f t="shared" si="3624"/>
        <v>1</v>
      </c>
      <c r="FU364" s="120" t="b">
        <f t="shared" si="3625"/>
        <v>1</v>
      </c>
      <c r="FV364" s="120" t="b">
        <f t="shared" si="3626"/>
        <v>1</v>
      </c>
      <c r="FW364" s="104" t="b">
        <f t="shared" si="3637"/>
        <v>0</v>
      </c>
      <c r="FX364" s="120" t="b">
        <f t="shared" si="4001"/>
        <v>1</v>
      </c>
      <c r="FY364" s="104" t="s">
        <v>368</v>
      </c>
      <c r="FZ364" s="104" t="b">
        <f t="shared" si="4002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4003"/>
        <v>1</v>
      </c>
      <c r="GI364" s="8" t="b">
        <f t="shared" si="4004"/>
        <v>0</v>
      </c>
      <c r="GJ364" s="31" t="s">
        <v>203</v>
      </c>
    </row>
    <row r="365" spans="1:193" hidden="1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50"/>
        <v>нет минмакс</v>
      </c>
      <c r="Q365" s="95">
        <v>3948</v>
      </c>
      <c r="R365" s="95">
        <f t="shared" si="3951"/>
        <v>39.480000000000004</v>
      </c>
      <c r="S365" s="131">
        <v>2779</v>
      </c>
      <c r="T365" s="131">
        <v>27.79</v>
      </c>
      <c r="U365" s="131">
        <f t="shared" si="3952"/>
        <v>0</v>
      </c>
      <c r="V365" s="113">
        <f t="shared" si="4005"/>
        <v>4537</v>
      </c>
      <c r="W365" s="113">
        <f t="shared" si="3953"/>
        <v>45.37</v>
      </c>
      <c r="X365" s="113">
        <f t="shared" si="3954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55"/>
        <v>0</v>
      </c>
      <c r="AF365" s="95">
        <f t="shared" si="3956"/>
        <v>0</v>
      </c>
      <c r="AG365" s="114">
        <v>0</v>
      </c>
      <c r="AH365" s="95">
        <f t="shared" si="3957"/>
        <v>4537</v>
      </c>
      <c r="AI365" s="114">
        <f t="shared" si="3958"/>
        <v>45.37</v>
      </c>
      <c r="AJ365" s="133">
        <f t="shared" si="3959"/>
        <v>0</v>
      </c>
      <c r="AK365" s="133">
        <f t="shared" si="4006"/>
        <v>0</v>
      </c>
      <c r="AL365" s="133">
        <f t="shared" si="3960"/>
        <v>0</v>
      </c>
      <c r="AM365" s="133">
        <f t="shared" si="3961"/>
        <v>0</v>
      </c>
      <c r="AN365" s="133" t="str">
        <f t="shared" si="3962"/>
        <v>нет оборота</v>
      </c>
      <c r="AO365" s="133" t="str">
        <f t="shared" si="3963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64"/>
        <v>Нет планов</v>
      </c>
      <c r="AW365" s="117">
        <f t="shared" si="3965"/>
        <v>45.37</v>
      </c>
      <c r="AX365" s="14"/>
      <c r="AY365" s="25">
        <f t="shared" si="3966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67"/>
        <v>0</v>
      </c>
      <c r="BG365" s="32">
        <v>3274</v>
      </c>
      <c r="BH365" s="32">
        <f t="shared" si="3968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69"/>
        <v>0</v>
      </c>
      <c r="BR365" s="95">
        <f t="shared" si="3970"/>
        <v>4537</v>
      </c>
      <c r="BS365" s="133">
        <f t="shared" si="3971"/>
        <v>4537</v>
      </c>
      <c r="BT365" s="133">
        <f t="shared" si="3971"/>
        <v>4537</v>
      </c>
      <c r="BU365" s="133">
        <f t="shared" si="3971"/>
        <v>4537</v>
      </c>
      <c r="BV365" s="133">
        <f t="shared" si="3971"/>
        <v>4537</v>
      </c>
      <c r="BW365" s="133">
        <f t="shared" si="3971"/>
        <v>4537</v>
      </c>
      <c r="BX365" s="133">
        <f t="shared" si="4007"/>
        <v>4537</v>
      </c>
      <c r="BY365" s="133">
        <f t="shared" si="4007"/>
        <v>4537</v>
      </c>
      <c r="BZ365" s="133">
        <f t="shared" si="4007"/>
        <v>4537</v>
      </c>
      <c r="CA365" s="133">
        <f t="shared" si="4007"/>
        <v>4537</v>
      </c>
      <c r="CB365" s="133">
        <f t="shared" si="4007"/>
        <v>4537</v>
      </c>
      <c r="CC365" s="133">
        <f t="shared" si="4007"/>
        <v>4537</v>
      </c>
      <c r="CD365" s="133">
        <f t="shared" si="4007"/>
        <v>4537</v>
      </c>
      <c r="CE365" s="133">
        <f t="shared" si="4007"/>
        <v>4537</v>
      </c>
      <c r="CF365" s="133">
        <f t="shared" si="4007"/>
        <v>4537</v>
      </c>
      <c r="CG365" s="133">
        <f t="shared" si="4007"/>
        <v>4537</v>
      </c>
      <c r="CH365" s="133">
        <f t="shared" si="4007"/>
        <v>4537</v>
      </c>
      <c r="CI365" s="133">
        <f t="shared" si="4007"/>
        <v>4537</v>
      </c>
      <c r="CJ365" s="133">
        <f t="shared" si="4007"/>
        <v>4537</v>
      </c>
      <c r="CK365" s="133">
        <f t="shared" si="4007"/>
        <v>4537</v>
      </c>
      <c r="CL365" s="133">
        <f t="shared" si="4007"/>
        <v>4537</v>
      </c>
      <c r="CM365" s="133">
        <f t="shared" si="4007"/>
        <v>4537</v>
      </c>
      <c r="CN365" s="133">
        <f t="shared" si="4007"/>
        <v>4537</v>
      </c>
      <c r="CO365" s="133">
        <f t="shared" si="4007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73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74"/>
        <v>0</v>
      </c>
      <c r="DB365" s="4">
        <f t="shared" si="3975"/>
        <v>0</v>
      </c>
      <c r="DC365" s="4">
        <f t="shared" si="3976"/>
        <v>0</v>
      </c>
      <c r="DD365" s="136">
        <f t="shared" si="3977"/>
        <v>0</v>
      </c>
      <c r="DE365" s="31">
        <v>0</v>
      </c>
      <c r="DF365" s="31">
        <v>30</v>
      </c>
      <c r="DG365" s="31">
        <v>0</v>
      </c>
      <c r="DH365" s="48">
        <f t="shared" si="3978"/>
        <v>0</v>
      </c>
      <c r="DI365" s="62">
        <v>1363.4839999999999</v>
      </c>
      <c r="DJ365" s="62">
        <v>0.67600000000000005</v>
      </c>
      <c r="DK365" s="48">
        <f t="shared" si="3979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80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81"/>
        <v>0</v>
      </c>
      <c r="DV365" s="62">
        <v>0</v>
      </c>
      <c r="DW365" s="62">
        <v>0</v>
      </c>
      <c r="DX365" s="62">
        <f t="shared" si="3982"/>
        <v>0</v>
      </c>
      <c r="DY365" s="62">
        <f t="shared" si="3983"/>
        <v>0</v>
      </c>
      <c r="DZ365" s="48">
        <f t="shared" si="3984"/>
        <v>0</v>
      </c>
      <c r="EA365" s="62">
        <f t="shared" si="3985"/>
        <v>0</v>
      </c>
      <c r="EB365" s="62">
        <f t="shared" si="3986"/>
        <v>0</v>
      </c>
      <c r="EC365" s="48">
        <f t="shared" si="3987"/>
        <v>0</v>
      </c>
      <c r="ED365" s="62">
        <f t="shared" si="3988"/>
        <v>0</v>
      </c>
      <c r="EE365" s="62">
        <f t="shared" si="3989"/>
        <v>0</v>
      </c>
      <c r="EF365" s="48">
        <f t="shared" si="3990"/>
        <v>0</v>
      </c>
      <c r="EG365" s="62">
        <f t="shared" si="3991"/>
        <v>0</v>
      </c>
      <c r="EH365" s="62">
        <f t="shared" si="3992"/>
        <v>0</v>
      </c>
      <c r="EI365" s="48">
        <f t="shared" si="3993"/>
        <v>0</v>
      </c>
      <c r="EJ365" s="62">
        <f t="shared" si="3994"/>
        <v>0</v>
      </c>
      <c r="EK365" s="62">
        <f t="shared" si="3995"/>
        <v>0</v>
      </c>
      <c r="EL365" s="48">
        <f t="shared" si="3996"/>
        <v>0</v>
      </c>
      <c r="EM365" s="62">
        <f t="shared" si="3997"/>
        <v>0</v>
      </c>
      <c r="EN365" s="62">
        <f t="shared" si="3998"/>
        <v>0</v>
      </c>
      <c r="EO365" s="48">
        <f t="shared" si="3999"/>
        <v>0</v>
      </c>
      <c r="EP365" s="62">
        <f t="shared" si="3947"/>
        <v>0</v>
      </c>
      <c r="EQ365" s="62">
        <f t="shared" si="3947"/>
        <v>0</v>
      </c>
      <c r="ER365" s="62">
        <f t="shared" si="3947"/>
        <v>0</v>
      </c>
      <c r="ES365" s="62">
        <f t="shared" si="3948"/>
        <v>0</v>
      </c>
      <c r="ET365" s="62">
        <f t="shared" si="3948"/>
        <v>0</v>
      </c>
      <c r="EU365" s="62">
        <f t="shared" si="3948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4000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 t="shared" si="3622"/>
        <v>1</v>
      </c>
      <c r="FS365" s="103" t="b">
        <f t="shared" si="3623"/>
        <v>1</v>
      </c>
      <c r="FT365" s="103" t="b">
        <f t="shared" si="3624"/>
        <v>0</v>
      </c>
      <c r="FU365" s="103" t="b">
        <f t="shared" si="3625"/>
        <v>0</v>
      </c>
      <c r="FV365" s="103" t="b">
        <f t="shared" si="3626"/>
        <v>1</v>
      </c>
      <c r="FW365" s="104" t="b">
        <f t="shared" si="3637"/>
        <v>0</v>
      </c>
      <c r="FX365" s="120" t="b">
        <f t="shared" si="4001"/>
        <v>1</v>
      </c>
      <c r="FY365" s="104" t="s">
        <v>368</v>
      </c>
      <c r="FZ365" s="104" t="b">
        <f t="shared" si="4002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4003"/>
        <v>1</v>
      </c>
      <c r="GI365" s="8" t="b">
        <f t="shared" si="4004"/>
        <v>0</v>
      </c>
      <c r="GJ365" s="31" t="s">
        <v>203</v>
      </c>
    </row>
    <row r="366" spans="1:193" ht="30" hidden="1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50"/>
        <v>нет минмакс</v>
      </c>
      <c r="Q366" s="95">
        <v>1798.6559982299805</v>
      </c>
      <c r="R366" s="95">
        <f t="shared" si="3951"/>
        <v>40074.055640563965</v>
      </c>
      <c r="S366" s="131">
        <v>1310.6450042724609</v>
      </c>
      <c r="T366" s="131">
        <v>78.638700256347647</v>
      </c>
      <c r="U366" s="131">
        <f t="shared" si="3952"/>
        <v>0</v>
      </c>
      <c r="V366" s="113">
        <f t="shared" si="4005"/>
        <v>2585.625</v>
      </c>
      <c r="W366" s="113">
        <f t="shared" si="3953"/>
        <v>57607.725000000006</v>
      </c>
      <c r="X366" s="113">
        <f t="shared" si="3954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55"/>
        <v>0</v>
      </c>
      <c r="AF366" s="95">
        <f t="shared" si="3956"/>
        <v>0</v>
      </c>
      <c r="AG366" s="114">
        <v>0</v>
      </c>
      <c r="AH366" s="95">
        <f t="shared" si="3957"/>
        <v>2585.625</v>
      </c>
      <c r="AI366" s="114">
        <f t="shared" si="3958"/>
        <v>57607.725000000006</v>
      </c>
      <c r="AJ366" s="133">
        <f t="shared" si="3959"/>
        <v>397</v>
      </c>
      <c r="AK366" s="133">
        <f t="shared" si="4006"/>
        <v>3910</v>
      </c>
      <c r="AL366" s="133">
        <f t="shared" si="3960"/>
        <v>5347</v>
      </c>
      <c r="AM366" s="133">
        <f t="shared" si="3961"/>
        <v>0</v>
      </c>
      <c r="AN366" s="133" t="str">
        <f t="shared" si="3962"/>
        <v>нет оборота</v>
      </c>
      <c r="AO366" s="133" t="str">
        <f t="shared" si="3963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64"/>
        <v>Нет планов</v>
      </c>
      <c r="AW366" s="117">
        <f t="shared" si="3965"/>
        <v>57607.725000000006</v>
      </c>
      <c r="AX366" s="14"/>
      <c r="AY366" s="25">
        <f t="shared" si="3966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67"/>
        <v>0</v>
      </c>
      <c r="BG366" s="32">
        <v>979.21304321289063</v>
      </c>
      <c r="BH366" s="32">
        <f t="shared" si="3968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69"/>
        <v>0</v>
      </c>
      <c r="BR366" s="95">
        <f t="shared" si="3970"/>
        <v>2585.625</v>
      </c>
      <c r="BS366" s="133">
        <f t="shared" si="3971"/>
        <v>2585.625</v>
      </c>
      <c r="BT366" s="133">
        <f t="shared" si="3971"/>
        <v>2585.625</v>
      </c>
      <c r="BU366" s="133">
        <f t="shared" si="3971"/>
        <v>2585.625</v>
      </c>
      <c r="BV366" s="133">
        <f t="shared" si="3971"/>
        <v>2585.625</v>
      </c>
      <c r="BW366" s="133">
        <f t="shared" si="3971"/>
        <v>2585.625</v>
      </c>
      <c r="BX366" s="133">
        <f t="shared" ref="BX366:CO366" si="4008">BW366-$BQ366</f>
        <v>2585.625</v>
      </c>
      <c r="BY366" s="133">
        <f t="shared" si="4008"/>
        <v>2585.625</v>
      </c>
      <c r="BZ366" s="133">
        <f t="shared" si="4008"/>
        <v>2585.625</v>
      </c>
      <c r="CA366" s="133">
        <f t="shared" si="4008"/>
        <v>2585.625</v>
      </c>
      <c r="CB366" s="133">
        <f t="shared" si="4008"/>
        <v>2585.625</v>
      </c>
      <c r="CC366" s="133">
        <f t="shared" si="4008"/>
        <v>2585.625</v>
      </c>
      <c r="CD366" s="133">
        <f t="shared" si="4008"/>
        <v>2585.625</v>
      </c>
      <c r="CE366" s="133">
        <f t="shared" si="4008"/>
        <v>2585.625</v>
      </c>
      <c r="CF366" s="133">
        <f t="shared" si="4008"/>
        <v>2585.625</v>
      </c>
      <c r="CG366" s="133">
        <f t="shared" si="4008"/>
        <v>2585.625</v>
      </c>
      <c r="CH366" s="133">
        <f t="shared" si="4008"/>
        <v>2585.625</v>
      </c>
      <c r="CI366" s="133">
        <f t="shared" si="4008"/>
        <v>2585.625</v>
      </c>
      <c r="CJ366" s="133">
        <f t="shared" si="4008"/>
        <v>2585.625</v>
      </c>
      <c r="CK366" s="133">
        <f t="shared" si="4008"/>
        <v>2585.625</v>
      </c>
      <c r="CL366" s="133">
        <f t="shared" si="4008"/>
        <v>2585.625</v>
      </c>
      <c r="CM366" s="133">
        <f t="shared" si="4008"/>
        <v>2585.625</v>
      </c>
      <c r="CN366" s="133">
        <f t="shared" si="4008"/>
        <v>2585.625</v>
      </c>
      <c r="CO366" s="133">
        <f t="shared" si="4008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73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74"/>
        <v>0</v>
      </c>
      <c r="DB366" s="4">
        <f t="shared" si="3975"/>
        <v>0</v>
      </c>
      <c r="DC366" s="4">
        <f t="shared" si="3976"/>
        <v>0</v>
      </c>
      <c r="DD366" s="136">
        <f t="shared" si="3977"/>
        <v>0</v>
      </c>
      <c r="DE366" s="31">
        <v>0</v>
      </c>
      <c r="DF366" s="31">
        <v>30</v>
      </c>
      <c r="DG366" s="31">
        <v>0</v>
      </c>
      <c r="DH366" s="48">
        <f t="shared" si="3978"/>
        <v>0</v>
      </c>
      <c r="DI366" s="62">
        <v>641.77500000000009</v>
      </c>
      <c r="DJ366" s="62">
        <v>2.1760000000000002</v>
      </c>
      <c r="DK366" s="48">
        <f t="shared" si="3979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80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81"/>
        <v>0</v>
      </c>
      <c r="DV366" s="62">
        <v>801.6</v>
      </c>
      <c r="DW366" s="62">
        <v>3.4796504744902754</v>
      </c>
      <c r="DX366" s="62">
        <f t="shared" si="3982"/>
        <v>0</v>
      </c>
      <c r="DY366" s="62">
        <f t="shared" si="3983"/>
        <v>0</v>
      </c>
      <c r="DZ366" s="48">
        <f t="shared" si="3984"/>
        <v>0</v>
      </c>
      <c r="EA366" s="62">
        <f t="shared" si="3985"/>
        <v>0</v>
      </c>
      <c r="EB366" s="62">
        <f t="shared" si="3986"/>
        <v>0</v>
      </c>
      <c r="EC366" s="48">
        <f t="shared" si="3987"/>
        <v>0</v>
      </c>
      <c r="ED366" s="62">
        <f t="shared" si="3988"/>
        <v>0</v>
      </c>
      <c r="EE366" s="62">
        <f t="shared" si="3989"/>
        <v>0</v>
      </c>
      <c r="EF366" s="48">
        <f t="shared" si="3990"/>
        <v>0</v>
      </c>
      <c r="EG366" s="62">
        <f t="shared" si="3991"/>
        <v>0</v>
      </c>
      <c r="EH366" s="62">
        <f t="shared" si="3992"/>
        <v>0</v>
      </c>
      <c r="EI366" s="48">
        <f t="shared" si="3993"/>
        <v>0</v>
      </c>
      <c r="EJ366" s="62">
        <f t="shared" si="3994"/>
        <v>0</v>
      </c>
      <c r="EK366" s="62">
        <f t="shared" si="3995"/>
        <v>0</v>
      </c>
      <c r="EL366" s="48">
        <f t="shared" si="3996"/>
        <v>0</v>
      </c>
      <c r="EM366" s="62">
        <f t="shared" si="3997"/>
        <v>0</v>
      </c>
      <c r="EN366" s="62">
        <f t="shared" si="3998"/>
        <v>0</v>
      </c>
      <c r="EO366" s="48">
        <f t="shared" si="3999"/>
        <v>0</v>
      </c>
      <c r="EP366" s="62">
        <f t="shared" ref="EP366:EU368" si="4009">BK366*$FH366</f>
        <v>0</v>
      </c>
      <c r="EQ366" s="62">
        <f t="shared" si="4009"/>
        <v>0</v>
      </c>
      <c r="ER366" s="62">
        <f t="shared" si="4009"/>
        <v>0</v>
      </c>
      <c r="ES366" s="62">
        <f t="shared" si="4009"/>
        <v>0</v>
      </c>
      <c r="ET366" s="62">
        <f t="shared" si="4009"/>
        <v>0</v>
      </c>
      <c r="EU366" s="62">
        <f t="shared" si="4009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4000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 t="shared" si="3622"/>
        <v>1</v>
      </c>
      <c r="FS366" s="103" t="b">
        <f t="shared" si="3623"/>
        <v>1</v>
      </c>
      <c r="FT366" s="103" t="b">
        <f t="shared" si="3624"/>
        <v>0</v>
      </c>
      <c r="FU366" s="103" t="b">
        <f t="shared" si="3625"/>
        <v>0</v>
      </c>
      <c r="FV366" s="103" t="b">
        <f t="shared" si="3626"/>
        <v>1</v>
      </c>
      <c r="FW366" s="104" t="b">
        <f t="shared" si="3637"/>
        <v>0</v>
      </c>
      <c r="FX366" s="120" t="b">
        <f t="shared" si="4001"/>
        <v>1</v>
      </c>
      <c r="FY366" s="104" t="s">
        <v>368</v>
      </c>
      <c r="FZ366" s="104" t="b">
        <f t="shared" si="4002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4003"/>
        <v>1</v>
      </c>
      <c r="GI366" s="8" t="b">
        <f t="shared" si="4004"/>
        <v>0</v>
      </c>
      <c r="GJ366" s="31" t="s">
        <v>203</v>
      </c>
    </row>
    <row r="367" spans="1:193" ht="45" hidden="1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50"/>
        <v>нет минмакс</v>
      </c>
      <c r="Q367" s="95">
        <v>243.8179931640625</v>
      </c>
      <c r="R367" s="95">
        <f t="shared" si="3951"/>
        <v>2.438179931640625</v>
      </c>
      <c r="S367" s="131">
        <v>394.3280029296875</v>
      </c>
      <c r="T367" s="131">
        <v>3.9432800292968753</v>
      </c>
      <c r="U367" s="131">
        <f t="shared" si="3952"/>
        <v>0</v>
      </c>
      <c r="V367" s="113">
        <f t="shared" si="4005"/>
        <v>255</v>
      </c>
      <c r="W367" s="113">
        <f t="shared" si="3953"/>
        <v>2.5500000000000003</v>
      </c>
      <c r="X367" s="113">
        <f t="shared" si="3954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55"/>
        <v>0</v>
      </c>
      <c r="AF367" s="95">
        <f t="shared" si="3956"/>
        <v>0</v>
      </c>
      <c r="AG367" s="114">
        <v>0</v>
      </c>
      <c r="AH367" s="95">
        <f t="shared" si="3957"/>
        <v>255</v>
      </c>
      <c r="AI367" s="114">
        <f t="shared" si="3958"/>
        <v>2.5500000000000003</v>
      </c>
      <c r="AJ367" s="133">
        <f t="shared" si="3959"/>
        <v>918</v>
      </c>
      <c r="AK367" s="133">
        <f t="shared" si="4006"/>
        <v>1283</v>
      </c>
      <c r="AL367" s="133">
        <f t="shared" si="3960"/>
        <v>1787</v>
      </c>
      <c r="AM367" s="133">
        <f t="shared" si="3961"/>
        <v>0</v>
      </c>
      <c r="AN367" s="133" t="str">
        <f t="shared" si="3962"/>
        <v>нет оборота</v>
      </c>
      <c r="AO367" s="133" t="str">
        <f t="shared" si="3963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64"/>
        <v>Нет планов</v>
      </c>
      <c r="AW367" s="117">
        <f t="shared" si="3965"/>
        <v>2.5500000000000003</v>
      </c>
      <c r="AX367" s="14"/>
      <c r="AY367" s="25">
        <f t="shared" si="3966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67"/>
        <v>0</v>
      </c>
      <c r="BG367" s="32">
        <v>1070.6640014648438</v>
      </c>
      <c r="BH367" s="32">
        <f t="shared" si="3968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69"/>
        <v>0</v>
      </c>
      <c r="BR367" s="95">
        <f t="shared" si="3970"/>
        <v>255</v>
      </c>
      <c r="BS367" s="133">
        <f t="shared" ref="BS367:BW368" si="4010">BR367-BL367</f>
        <v>255</v>
      </c>
      <c r="BT367" s="133">
        <f t="shared" si="4010"/>
        <v>255</v>
      </c>
      <c r="BU367" s="133">
        <f t="shared" si="4010"/>
        <v>255</v>
      </c>
      <c r="BV367" s="133">
        <f t="shared" si="4010"/>
        <v>255</v>
      </c>
      <c r="BW367" s="133">
        <f t="shared" si="4010"/>
        <v>255</v>
      </c>
      <c r="BX367" s="133">
        <f t="shared" ref="BX367:CO368" si="4011">BW367-$BQ367</f>
        <v>255</v>
      </c>
      <c r="BY367" s="133">
        <f t="shared" si="4011"/>
        <v>255</v>
      </c>
      <c r="BZ367" s="133">
        <f t="shared" si="4011"/>
        <v>255</v>
      </c>
      <c r="CA367" s="133">
        <f t="shared" si="4011"/>
        <v>255</v>
      </c>
      <c r="CB367" s="133">
        <f t="shared" si="4011"/>
        <v>255</v>
      </c>
      <c r="CC367" s="133">
        <f t="shared" si="4011"/>
        <v>255</v>
      </c>
      <c r="CD367" s="133">
        <f t="shared" si="4011"/>
        <v>255</v>
      </c>
      <c r="CE367" s="133">
        <f t="shared" si="4011"/>
        <v>255</v>
      </c>
      <c r="CF367" s="133">
        <f t="shared" si="4011"/>
        <v>255</v>
      </c>
      <c r="CG367" s="133">
        <f t="shared" si="4011"/>
        <v>255</v>
      </c>
      <c r="CH367" s="133">
        <f t="shared" si="4011"/>
        <v>255</v>
      </c>
      <c r="CI367" s="133">
        <f t="shared" si="4011"/>
        <v>255</v>
      </c>
      <c r="CJ367" s="133">
        <f t="shared" si="4011"/>
        <v>255</v>
      </c>
      <c r="CK367" s="133">
        <f t="shared" si="4011"/>
        <v>255</v>
      </c>
      <c r="CL367" s="133">
        <f t="shared" si="4011"/>
        <v>255</v>
      </c>
      <c r="CM367" s="133">
        <f t="shared" si="4011"/>
        <v>255</v>
      </c>
      <c r="CN367" s="133">
        <f t="shared" si="4011"/>
        <v>255</v>
      </c>
      <c r="CO367" s="133">
        <f t="shared" si="4011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73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4012">IFERROR(CZ367/CY367,0)</f>
        <v>0</v>
      </c>
      <c r="DB367" s="4">
        <f t="shared" ref="DB367:DB368" si="4013">CY367*FH367</f>
        <v>0</v>
      </c>
      <c r="DC367" s="4">
        <f t="shared" ref="DC367:DC368" si="4014">CZ367*FH367</f>
        <v>0</v>
      </c>
      <c r="DD367" s="136">
        <f t="shared" ref="DD367:DD368" si="4015">IFERROR(DC367/DB367,0)</f>
        <v>0</v>
      </c>
      <c r="DE367" s="31">
        <v>0</v>
      </c>
      <c r="DF367" s="31">
        <v>30</v>
      </c>
      <c r="DG367" s="31">
        <v>0</v>
      </c>
      <c r="DH367" s="48">
        <f t="shared" si="3978"/>
        <v>0</v>
      </c>
      <c r="DI367" s="62">
        <v>326.70299999999997</v>
      </c>
      <c r="DJ367" s="62">
        <v>0.71799999999999997</v>
      </c>
      <c r="DK367" s="48">
        <f t="shared" si="3979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80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81"/>
        <v>0</v>
      </c>
      <c r="DV367" s="62">
        <v>365</v>
      </c>
      <c r="DW367" s="62">
        <v>1.73</v>
      </c>
      <c r="DX367" s="62">
        <f t="shared" si="3982"/>
        <v>0</v>
      </c>
      <c r="DY367" s="62">
        <f t="shared" si="3983"/>
        <v>0</v>
      </c>
      <c r="DZ367" s="48">
        <f t="shared" si="3984"/>
        <v>0</v>
      </c>
      <c r="EA367" s="62">
        <f t="shared" si="3985"/>
        <v>0</v>
      </c>
      <c r="EB367" s="62">
        <f t="shared" si="3986"/>
        <v>0</v>
      </c>
      <c r="EC367" s="48">
        <f t="shared" si="3987"/>
        <v>0</v>
      </c>
      <c r="ED367" s="62">
        <f t="shared" si="3988"/>
        <v>0</v>
      </c>
      <c r="EE367" s="62">
        <f t="shared" si="3989"/>
        <v>0</v>
      </c>
      <c r="EF367" s="48">
        <f t="shared" si="3990"/>
        <v>0</v>
      </c>
      <c r="EG367" s="62">
        <f t="shared" si="3991"/>
        <v>0</v>
      </c>
      <c r="EH367" s="62">
        <f t="shared" si="3992"/>
        <v>0</v>
      </c>
      <c r="EI367" s="48">
        <f t="shared" si="3993"/>
        <v>0</v>
      </c>
      <c r="EJ367" s="62">
        <f t="shared" si="3994"/>
        <v>0</v>
      </c>
      <c r="EK367" s="62">
        <f t="shared" si="3995"/>
        <v>0</v>
      </c>
      <c r="EL367" s="48">
        <f t="shared" si="3996"/>
        <v>0</v>
      </c>
      <c r="EM367" s="62">
        <f t="shared" si="3997"/>
        <v>0</v>
      </c>
      <c r="EN367" s="62">
        <f t="shared" si="3998"/>
        <v>0</v>
      </c>
      <c r="EO367" s="48">
        <f t="shared" si="3999"/>
        <v>0</v>
      </c>
      <c r="EP367" s="62">
        <f t="shared" si="4009"/>
        <v>0</v>
      </c>
      <c r="EQ367" s="62">
        <f t="shared" si="4009"/>
        <v>0</v>
      </c>
      <c r="ER367" s="62">
        <f t="shared" si="4009"/>
        <v>0</v>
      </c>
      <c r="ES367" s="62">
        <f t="shared" si="4009"/>
        <v>0</v>
      </c>
      <c r="ET367" s="62">
        <f t="shared" si="4009"/>
        <v>0</v>
      </c>
      <c r="EU367" s="62">
        <f t="shared" si="4009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4000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 t="shared" si="3622"/>
        <v>1</v>
      </c>
      <c r="FS367" s="103" t="b">
        <f t="shared" si="3623"/>
        <v>1</v>
      </c>
      <c r="FT367" s="103" t="b">
        <f t="shared" si="3624"/>
        <v>0</v>
      </c>
      <c r="FU367" s="103" t="b">
        <f t="shared" si="3625"/>
        <v>0</v>
      </c>
      <c r="FV367" s="103" t="b">
        <f t="shared" si="3626"/>
        <v>1</v>
      </c>
      <c r="FW367" s="104" t="b">
        <f t="shared" si="3637"/>
        <v>0</v>
      </c>
      <c r="FX367" s="120" t="b">
        <f t="shared" si="4001"/>
        <v>1</v>
      </c>
      <c r="FY367" s="104" t="s">
        <v>368</v>
      </c>
      <c r="FZ367" s="104" t="b">
        <f t="shared" si="4002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4003"/>
        <v>1</v>
      </c>
      <c r="GI367" s="8" t="b">
        <f t="shared" si="4004"/>
        <v>0</v>
      </c>
      <c r="GJ367" s="31" t="s">
        <v>203</v>
      </c>
    </row>
    <row r="368" spans="1:193" hidden="1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50"/>
        <v>нет минмакс</v>
      </c>
      <c r="Q368" s="95">
        <v>140.94999998807907</v>
      </c>
      <c r="R368" s="95">
        <f t="shared" si="3951"/>
        <v>1.4094999998807907</v>
      </c>
      <c r="S368" s="131">
        <v>317.01000213623047</v>
      </c>
      <c r="T368" s="131">
        <v>3.170100021362305</v>
      </c>
      <c r="U368" s="131">
        <f t="shared" si="3952"/>
        <v>0</v>
      </c>
      <c r="V368" s="113">
        <f t="shared" si="4005"/>
        <v>200</v>
      </c>
      <c r="W368" s="113">
        <f t="shared" si="3953"/>
        <v>2</v>
      </c>
      <c r="X368" s="113">
        <f t="shared" si="3954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55"/>
        <v>0</v>
      </c>
      <c r="AF368" s="95">
        <f t="shared" si="3956"/>
        <v>0</v>
      </c>
      <c r="AG368" s="114">
        <v>0</v>
      </c>
      <c r="AH368" s="95">
        <f t="shared" si="3957"/>
        <v>200</v>
      </c>
      <c r="AI368" s="114">
        <f t="shared" si="3958"/>
        <v>2</v>
      </c>
      <c r="AJ368" s="133">
        <f t="shared" si="3959"/>
        <v>916</v>
      </c>
      <c r="AK368" s="133">
        <f t="shared" si="4006"/>
        <v>1060</v>
      </c>
      <c r="AL368" s="133">
        <f t="shared" si="3960"/>
        <v>1790</v>
      </c>
      <c r="AM368" s="133">
        <f t="shared" si="3961"/>
        <v>0</v>
      </c>
      <c r="AN368" s="133" t="str">
        <f t="shared" si="3962"/>
        <v>нет оборота</v>
      </c>
      <c r="AO368" s="133" t="str">
        <f t="shared" si="3963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64"/>
        <v>Нет планов</v>
      </c>
      <c r="AW368" s="117">
        <f t="shared" si="3965"/>
        <v>2</v>
      </c>
      <c r="AX368" s="14"/>
      <c r="AY368" s="25">
        <f t="shared" si="3966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67"/>
        <v>0</v>
      </c>
      <c r="BG368" s="32">
        <v>1295.349983215332</v>
      </c>
      <c r="BH368" s="32">
        <f t="shared" si="3968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69"/>
        <v>0</v>
      </c>
      <c r="BR368" s="95">
        <f t="shared" si="3970"/>
        <v>200</v>
      </c>
      <c r="BS368" s="133">
        <f t="shared" si="4010"/>
        <v>200</v>
      </c>
      <c r="BT368" s="133">
        <f t="shared" si="4010"/>
        <v>200</v>
      </c>
      <c r="BU368" s="133">
        <f t="shared" si="4010"/>
        <v>200</v>
      </c>
      <c r="BV368" s="133">
        <f t="shared" si="4010"/>
        <v>200</v>
      </c>
      <c r="BW368" s="133">
        <f t="shared" si="4010"/>
        <v>200</v>
      </c>
      <c r="BX368" s="133">
        <f t="shared" si="4011"/>
        <v>200</v>
      </c>
      <c r="BY368" s="133">
        <f t="shared" si="4011"/>
        <v>200</v>
      </c>
      <c r="BZ368" s="133">
        <f t="shared" si="4011"/>
        <v>200</v>
      </c>
      <c r="CA368" s="133">
        <f t="shared" si="4011"/>
        <v>200</v>
      </c>
      <c r="CB368" s="133">
        <f t="shared" si="4011"/>
        <v>200</v>
      </c>
      <c r="CC368" s="133">
        <f t="shared" si="4011"/>
        <v>200</v>
      </c>
      <c r="CD368" s="133">
        <f t="shared" si="4011"/>
        <v>200</v>
      </c>
      <c r="CE368" s="133">
        <f t="shared" si="4011"/>
        <v>200</v>
      </c>
      <c r="CF368" s="133">
        <f t="shared" si="4011"/>
        <v>200</v>
      </c>
      <c r="CG368" s="133">
        <f t="shared" si="4011"/>
        <v>200</v>
      </c>
      <c r="CH368" s="133">
        <f t="shared" si="4011"/>
        <v>200</v>
      </c>
      <c r="CI368" s="133">
        <f t="shared" si="4011"/>
        <v>200</v>
      </c>
      <c r="CJ368" s="133">
        <f t="shared" si="4011"/>
        <v>200</v>
      </c>
      <c r="CK368" s="133">
        <f t="shared" si="4011"/>
        <v>200</v>
      </c>
      <c r="CL368" s="133">
        <f t="shared" si="4011"/>
        <v>200</v>
      </c>
      <c r="CM368" s="133">
        <f t="shared" si="4011"/>
        <v>200</v>
      </c>
      <c r="CN368" s="133">
        <f t="shared" si="4011"/>
        <v>200</v>
      </c>
      <c r="CO368" s="133">
        <f t="shared" si="4011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73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4012"/>
        <v>0</v>
      </c>
      <c r="DB368" s="4">
        <f t="shared" si="4013"/>
        <v>0</v>
      </c>
      <c r="DC368" s="4">
        <f t="shared" si="4014"/>
        <v>0</v>
      </c>
      <c r="DD368" s="136">
        <f t="shared" si="4015"/>
        <v>0</v>
      </c>
      <c r="DE368" s="31">
        <v>0</v>
      </c>
      <c r="DF368" s="31">
        <v>30</v>
      </c>
      <c r="DG368" s="31">
        <v>0</v>
      </c>
      <c r="DH368" s="48">
        <f t="shared" si="3978"/>
        <v>0</v>
      </c>
      <c r="DI368" s="62">
        <v>241.05</v>
      </c>
      <c r="DJ368" s="62">
        <v>0.501</v>
      </c>
      <c r="DK368" s="48">
        <f t="shared" si="3979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80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81"/>
        <v>0</v>
      </c>
      <c r="DV368" s="62">
        <v>143.97399999999999</v>
      </c>
      <c r="DW368" s="62">
        <v>0.80984221764975972</v>
      </c>
      <c r="DX368" s="62">
        <f t="shared" si="3982"/>
        <v>0</v>
      </c>
      <c r="DY368" s="62">
        <f t="shared" si="3983"/>
        <v>0</v>
      </c>
      <c r="DZ368" s="48">
        <f t="shared" si="3984"/>
        <v>0</v>
      </c>
      <c r="EA368" s="62">
        <f t="shared" si="3985"/>
        <v>0</v>
      </c>
      <c r="EB368" s="62">
        <f t="shared" si="3986"/>
        <v>0</v>
      </c>
      <c r="EC368" s="48">
        <f t="shared" si="3987"/>
        <v>0</v>
      </c>
      <c r="ED368" s="62">
        <f t="shared" si="3988"/>
        <v>0</v>
      </c>
      <c r="EE368" s="62">
        <f t="shared" si="3989"/>
        <v>0</v>
      </c>
      <c r="EF368" s="48">
        <f t="shared" si="3990"/>
        <v>0</v>
      </c>
      <c r="EG368" s="62">
        <f t="shared" si="3991"/>
        <v>0</v>
      </c>
      <c r="EH368" s="62">
        <f t="shared" si="3992"/>
        <v>0</v>
      </c>
      <c r="EI368" s="48">
        <f t="shared" si="3993"/>
        <v>0</v>
      </c>
      <c r="EJ368" s="62">
        <f t="shared" si="3994"/>
        <v>0</v>
      </c>
      <c r="EK368" s="62">
        <f t="shared" si="3995"/>
        <v>0</v>
      </c>
      <c r="EL368" s="48">
        <f t="shared" si="3996"/>
        <v>0</v>
      </c>
      <c r="EM368" s="62">
        <f t="shared" si="3997"/>
        <v>0</v>
      </c>
      <c r="EN368" s="62">
        <f t="shared" si="3998"/>
        <v>0</v>
      </c>
      <c r="EO368" s="48">
        <f t="shared" si="3999"/>
        <v>0</v>
      </c>
      <c r="EP368" s="62">
        <f t="shared" si="4009"/>
        <v>0</v>
      </c>
      <c r="EQ368" s="62">
        <f t="shared" si="4009"/>
        <v>0</v>
      </c>
      <c r="ER368" s="62">
        <f t="shared" si="4009"/>
        <v>0</v>
      </c>
      <c r="ES368" s="62">
        <f t="shared" si="4009"/>
        <v>0</v>
      </c>
      <c r="ET368" s="62">
        <f t="shared" si="4009"/>
        <v>0</v>
      </c>
      <c r="EU368" s="62">
        <f t="shared" si="4009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4000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 t="shared" si="3622"/>
        <v>1</v>
      </c>
      <c r="FS368" s="103" t="b">
        <f t="shared" si="3623"/>
        <v>1</v>
      </c>
      <c r="FT368" s="103" t="b">
        <f t="shared" si="3624"/>
        <v>0</v>
      </c>
      <c r="FU368" s="103" t="b">
        <f t="shared" si="3625"/>
        <v>0</v>
      </c>
      <c r="FV368" s="103" t="b">
        <f t="shared" si="3626"/>
        <v>1</v>
      </c>
      <c r="FW368" s="104" t="b">
        <f t="shared" si="3637"/>
        <v>0</v>
      </c>
      <c r="FX368" s="120" t="b">
        <f t="shared" si="4001"/>
        <v>1</v>
      </c>
      <c r="FY368" s="104" t="s">
        <v>368</v>
      </c>
      <c r="FZ368" s="104" t="b">
        <f t="shared" si="4002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4003"/>
        <v>1</v>
      </c>
      <c r="GI368" s="8" t="b">
        <f t="shared" si="4004"/>
        <v>0</v>
      </c>
      <c r="GJ368" s="31" t="s">
        <v>203</v>
      </c>
    </row>
    <row r="369" spans="1:192" ht="30" hidden="1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4016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4017">Q369*FH369</f>
        <v>577056.5</v>
      </c>
      <c r="S369" s="131">
        <v>0</v>
      </c>
      <c r="T369" s="131">
        <v>0</v>
      </c>
      <c r="U369" s="131">
        <f t="shared" ref="U369" si="4018">IFERROR(ROUNDUP(S369/$EX369,0)*$EY369,0)</f>
        <v>0</v>
      </c>
      <c r="V369" s="113">
        <f t="shared" ref="V369" si="4019">SUM(Z369:AD369)</f>
        <v>897</v>
      </c>
      <c r="W369" s="113">
        <f t="shared" ref="W369" si="4020">V369*FH369</f>
        <v>713958.18</v>
      </c>
      <c r="X369" s="113">
        <f t="shared" ref="X369" si="4021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4022">AA369*FH369</f>
        <v>0</v>
      </c>
      <c r="AF369" s="95">
        <f t="shared" ref="AF369" si="4023">AB369*FH369</f>
        <v>0</v>
      </c>
      <c r="AG369" s="114">
        <v>0</v>
      </c>
      <c r="AH369" s="95">
        <f t="shared" ref="AH369" si="4024">V369-AG369</f>
        <v>897</v>
      </c>
      <c r="AI369" s="114">
        <f t="shared" ref="AI369" si="4025">IF(AH369&gt;0,AH369*FH369,0)</f>
        <v>713958.18</v>
      </c>
      <c r="AJ369" s="133">
        <f t="shared" ref="AJ369" si="4026">CU369</f>
        <v>702</v>
      </c>
      <c r="AK369" s="133">
        <f t="shared" ref="AK369" si="4027">SUM(CS369:CU369)</f>
        <v>721</v>
      </c>
      <c r="AL369" s="133">
        <f t="shared" ref="AL369" si="4028">SUM(CP369:CU369)</f>
        <v>1121</v>
      </c>
      <c r="AM369" s="133">
        <f t="shared" ref="AM369" si="4029">SUM(BK369:BP369)</f>
        <v>0</v>
      </c>
      <c r="AN369" s="133" t="str">
        <f t="shared" ref="AN369" si="4030">IFERROR(S369/BQ369*30,"нет оборота")</f>
        <v>нет оборота</v>
      </c>
      <c r="AO369" s="133" t="str">
        <f t="shared" ref="AO369" si="4031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4032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4033">IF(AT369="Да",W369,0)</f>
        <v>713958.18</v>
      </c>
      <c r="AX369" s="14"/>
      <c r="AY369" s="25">
        <f t="shared" ref="AY369" si="4034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4035">BE369*FH369</f>
        <v>0</v>
      </c>
      <c r="BG369" s="32">
        <v>0</v>
      </c>
      <c r="BH369" s="32">
        <f t="shared" ref="BH369" si="4036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37">IF(COUNTIF(BK369:BP369,"&gt;0")=0,0,SUM(BK369:BP369)/COUNTIF(BK369:BP369,"&gt;0"))</f>
        <v>0</v>
      </c>
      <c r="BR369" s="95">
        <f t="shared" ref="BR369" si="4038">IF(OR(Q369=0,SUM(BK369:BP369)=0,V369&gt;Q369),V369-BK369,Q369-BK369)</f>
        <v>897</v>
      </c>
      <c r="BS369" s="133">
        <f t="shared" ref="BS369:BW369" si="4039">BR369-BL369</f>
        <v>897</v>
      </c>
      <c r="BT369" s="133">
        <f t="shared" si="4039"/>
        <v>897</v>
      </c>
      <c r="BU369" s="133">
        <f t="shared" si="4039"/>
        <v>897</v>
      </c>
      <c r="BV369" s="133">
        <f t="shared" si="4039"/>
        <v>897</v>
      </c>
      <c r="BW369" s="133">
        <f t="shared" si="4039"/>
        <v>897</v>
      </c>
      <c r="BX369" s="133">
        <f t="shared" ref="BX369:CO369" si="4040">BW369-$BQ369</f>
        <v>897</v>
      </c>
      <c r="BY369" s="133">
        <f t="shared" si="4040"/>
        <v>897</v>
      </c>
      <c r="BZ369" s="133">
        <f t="shared" si="4040"/>
        <v>897</v>
      </c>
      <c r="CA369" s="133">
        <f t="shared" si="4040"/>
        <v>897</v>
      </c>
      <c r="CB369" s="133">
        <f t="shared" si="4040"/>
        <v>897</v>
      </c>
      <c r="CC369" s="133">
        <f t="shared" si="4040"/>
        <v>897</v>
      </c>
      <c r="CD369" s="133">
        <f t="shared" si="4040"/>
        <v>897</v>
      </c>
      <c r="CE369" s="133">
        <f t="shared" si="4040"/>
        <v>897</v>
      </c>
      <c r="CF369" s="133">
        <f t="shared" si="4040"/>
        <v>897</v>
      </c>
      <c r="CG369" s="133">
        <f t="shared" si="4040"/>
        <v>897</v>
      </c>
      <c r="CH369" s="133">
        <f t="shared" si="4040"/>
        <v>897</v>
      </c>
      <c r="CI369" s="133">
        <f t="shared" si="4040"/>
        <v>897</v>
      </c>
      <c r="CJ369" s="133">
        <f t="shared" si="4040"/>
        <v>897</v>
      </c>
      <c r="CK369" s="133">
        <f t="shared" si="4040"/>
        <v>897</v>
      </c>
      <c r="CL369" s="133">
        <f t="shared" si="4040"/>
        <v>897</v>
      </c>
      <c r="CM369" s="133">
        <f t="shared" si="4040"/>
        <v>897</v>
      </c>
      <c r="CN369" s="133">
        <f t="shared" si="4040"/>
        <v>897</v>
      </c>
      <c r="CO369" s="133">
        <f t="shared" si="4040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41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42">IFERROR(CZ369/CY369,0)</f>
        <v>0</v>
      </c>
      <c r="DB369" s="4">
        <f t="shared" ref="DB369" si="4043">CY369*FH369</f>
        <v>0</v>
      </c>
      <c r="DC369" s="4">
        <f t="shared" ref="DC369" si="4044">CZ369*FH369</f>
        <v>0</v>
      </c>
      <c r="DD369" s="136">
        <f t="shared" ref="DD369" si="4045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46">IFERROR(ROUNDUP(DG369/$EX369,0)*$EY369,0)</f>
        <v>0</v>
      </c>
      <c r="DI369" s="62">
        <v>269.363</v>
      </c>
      <c r="DJ369" s="62">
        <v>251456.478</v>
      </c>
      <c r="DK369" s="48">
        <f t="shared" ref="DK369" si="4047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48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49">IFERROR(ROUNDUP(DS369/$EX369,0)*$EY369,0)</f>
        <v>1.5</v>
      </c>
      <c r="DV369" s="62">
        <v>19</v>
      </c>
      <c r="DW369" s="62">
        <v>17019.212</v>
      </c>
      <c r="DX369" s="62">
        <f t="shared" ref="DX369" si="4050">$DF369*BK369/30</f>
        <v>0</v>
      </c>
      <c r="DY369" s="62">
        <f t="shared" ref="DY369" si="4051">DX369*$FH369</f>
        <v>0</v>
      </c>
      <c r="DZ369" s="48">
        <f t="shared" ref="DZ369" si="4052">IFERROR(ROUNDUP(DX369/$EX369,0)*$EY369,0)</f>
        <v>0</v>
      </c>
      <c r="EA369" s="62">
        <f t="shared" ref="EA369" si="4053">$DF369*BL369/30</f>
        <v>0</v>
      </c>
      <c r="EB369" s="62">
        <f t="shared" ref="EB369" si="4054">EA369*$FH369</f>
        <v>0</v>
      </c>
      <c r="EC369" s="48">
        <f t="shared" ref="EC369" si="4055">IFERROR(ROUNDUP(EA369/$EX369,0)*$EY369,0)</f>
        <v>0</v>
      </c>
      <c r="ED369" s="62">
        <f t="shared" ref="ED369" si="4056">$DF369*BM369/30</f>
        <v>0</v>
      </c>
      <c r="EE369" s="62">
        <f t="shared" ref="EE369" si="4057">ED369*$FH369</f>
        <v>0</v>
      </c>
      <c r="EF369" s="48">
        <f t="shared" ref="EF369" si="4058">IFERROR(ROUNDUP(ED369/$EX369,0)*$EY369,0)</f>
        <v>0</v>
      </c>
      <c r="EG369" s="62">
        <f t="shared" ref="EG369" si="4059">$DF369*BN369/30</f>
        <v>0</v>
      </c>
      <c r="EH369" s="62">
        <f t="shared" ref="EH369" si="4060">EG369*$FH369</f>
        <v>0</v>
      </c>
      <c r="EI369" s="48">
        <f t="shared" ref="EI369" si="4061">IFERROR(ROUNDUP(EG369/$EX369,0)*$EY369,0)</f>
        <v>0</v>
      </c>
      <c r="EJ369" s="62">
        <f t="shared" ref="EJ369" si="4062">$DF369*BO369/30</f>
        <v>0</v>
      </c>
      <c r="EK369" s="62">
        <f t="shared" ref="EK369" si="4063">EJ369*$FH369</f>
        <v>0</v>
      </c>
      <c r="EL369" s="48">
        <f t="shared" ref="EL369" si="4064">IFERROR(ROUNDUP(EJ369/$EX369,0)*$EY369,0)</f>
        <v>0</v>
      </c>
      <c r="EM369" s="62">
        <f t="shared" ref="EM369" si="4065">$DF369*BP369/30</f>
        <v>0</v>
      </c>
      <c r="EN369" s="62">
        <f t="shared" ref="EN369" si="4066">EM369*$FH369</f>
        <v>0</v>
      </c>
      <c r="EO369" s="48">
        <f t="shared" ref="EO369" si="4067">IFERROR(ROUNDUP(EM369/$EX369,0)*$EY369,0)</f>
        <v>0</v>
      </c>
      <c r="EP369" s="62">
        <f t="shared" ref="EP369:EU369" si="4068">BK369*$FH369</f>
        <v>0</v>
      </c>
      <c r="EQ369" s="62">
        <f t="shared" si="4068"/>
        <v>0</v>
      </c>
      <c r="ER369" s="62">
        <f t="shared" si="4068"/>
        <v>0</v>
      </c>
      <c r="ES369" s="62">
        <f t="shared" si="4068"/>
        <v>0</v>
      </c>
      <c r="ET369" s="62">
        <f t="shared" si="4068"/>
        <v>0</v>
      </c>
      <c r="EU369" s="62">
        <f t="shared" si="4068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69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 t="shared" si="3622"/>
        <v>1</v>
      </c>
      <c r="FS369" s="103" t="b">
        <f t="shared" si="3623"/>
        <v>1</v>
      </c>
      <c r="FT369" s="103" t="b">
        <f t="shared" si="3624"/>
        <v>0</v>
      </c>
      <c r="FU369" s="103" t="b">
        <f t="shared" si="3625"/>
        <v>0</v>
      </c>
      <c r="FV369" s="103" t="b">
        <f t="shared" si="3626"/>
        <v>1</v>
      </c>
      <c r="FW369" s="104" t="b">
        <f t="shared" si="3637"/>
        <v>0</v>
      </c>
      <c r="FX369" s="120" t="b">
        <f t="shared" ref="FX369" si="4070">EXACT(FQ369,BI369)</f>
        <v>1</v>
      </c>
      <c r="FY369" s="104" t="s">
        <v>368</v>
      </c>
      <c r="FZ369" s="104" t="b">
        <f t="shared" ref="FZ369" si="4071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72">EXACT(GD369,C369)</f>
        <v>1</v>
      </c>
      <c r="GI369" s="8" t="b">
        <f t="shared" ref="GI369" si="4073">EXACT(GG369,G369)</f>
        <v>0</v>
      </c>
      <c r="GJ369" s="31" t="s">
        <v>203</v>
      </c>
    </row>
    <row r="370" spans="1:192" hidden="1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74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75">Q370*FH370</f>
        <v>318584</v>
      </c>
      <c r="S370" s="114">
        <v>0</v>
      </c>
      <c r="T370" s="114">
        <v>0</v>
      </c>
      <c r="U370" s="131">
        <f t="shared" ref="U370:U371" si="4076">IFERROR(ROUNDUP(S370/$EX370,0)*$EY370,0)</f>
        <v>0</v>
      </c>
      <c r="V370" s="115">
        <f t="shared" ref="V370:V371" si="4077">SUM(Z370:AD370)</f>
        <v>310354</v>
      </c>
      <c r="W370" s="115">
        <f t="shared" ref="W370:W371" si="4078">V370*FH370</f>
        <v>248283.2</v>
      </c>
      <c r="X370" s="115">
        <f t="shared" ref="X370:X371" si="4079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80">AA370*FH370</f>
        <v>0</v>
      </c>
      <c r="AF370" s="95">
        <f t="shared" ref="AF370:AF371" si="4081">AB370*FH370</f>
        <v>0</v>
      </c>
      <c r="AG370" s="114">
        <v>0</v>
      </c>
      <c r="AH370" s="95">
        <f t="shared" ref="AH370:AH371" si="4082">V370-AG370</f>
        <v>310354</v>
      </c>
      <c r="AI370" s="114">
        <f t="shared" ref="AI370:AI371" si="4083">IF(AH370&gt;0,AH370*FH370,0)</f>
        <v>248283.2</v>
      </c>
      <c r="AJ370" s="114">
        <f t="shared" ref="AJ370:AJ371" si="4084">CU370</f>
        <v>222044</v>
      </c>
      <c r="AK370" s="114">
        <f t="shared" ref="AK370:AK371" si="4085">SUM(CS370:CU370)</f>
        <v>418578</v>
      </c>
      <c r="AL370" s="114">
        <f t="shared" ref="AL370:AL371" si="4086">SUM(CP370:CU370)</f>
        <v>607283</v>
      </c>
      <c r="AM370" s="114">
        <f t="shared" ref="AM370:AM371" si="4087">SUM(BK370:BP370)</f>
        <v>964458</v>
      </c>
      <c r="AN370" s="133">
        <f t="shared" ref="AN370:AN371" si="4088">IFERROR(S370/BQ370*30,"нет оборота")</f>
        <v>0</v>
      </c>
      <c r="AO370" s="133" t="str">
        <f t="shared" ref="AO370:AO371" si="4089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90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91">IF(AT370="Да",W370,0)</f>
        <v>0</v>
      </c>
      <c r="AX370" s="138"/>
      <c r="AY370" s="115">
        <f t="shared" ref="AY370:AY371" si="4092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93">BE370*FH370</f>
        <v>0</v>
      </c>
      <c r="BG370" s="32">
        <v>0</v>
      </c>
      <c r="BH370" s="32">
        <f t="shared" ref="BH370:BH371" si="4094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95">IF(COUNTIF(BK370:BP370,"&gt;0")=0,0,SUM(BK370:BP370)/COUNTIF(BK370:BP370,"&gt;0"))</f>
        <v>160743</v>
      </c>
      <c r="BR370" s="95">
        <f t="shared" ref="BR370:BR371" si="4096">IF(OR(Q370=0,SUM(BK370:BP370)=0,V370&gt;Q370),V370-BK370,Q370-BK370)</f>
        <v>280580</v>
      </c>
      <c r="BS370" s="133">
        <f t="shared" ref="BS370:BW370" si="4097">BR370-BL370</f>
        <v>95750</v>
      </c>
      <c r="BT370" s="133">
        <f t="shared" si="4097"/>
        <v>-132223</v>
      </c>
      <c r="BU370" s="133">
        <f t="shared" si="4097"/>
        <v>-367408</v>
      </c>
      <c r="BV370" s="133">
        <f t="shared" si="4097"/>
        <v>-490701</v>
      </c>
      <c r="BW370" s="133">
        <f t="shared" si="4097"/>
        <v>-566228</v>
      </c>
      <c r="BX370" s="133">
        <f t="shared" ref="BX370:CO370" si="4098">BW370-$BQ370</f>
        <v>-726971</v>
      </c>
      <c r="BY370" s="133">
        <f t="shared" si="4098"/>
        <v>-887714</v>
      </c>
      <c r="BZ370" s="133">
        <f t="shared" si="4098"/>
        <v>-1048457</v>
      </c>
      <c r="CA370" s="133">
        <f t="shared" si="4098"/>
        <v>-1209200</v>
      </c>
      <c r="CB370" s="133">
        <f t="shared" si="4098"/>
        <v>-1369943</v>
      </c>
      <c r="CC370" s="133">
        <f t="shared" si="4098"/>
        <v>-1530686</v>
      </c>
      <c r="CD370" s="133">
        <f t="shared" si="4098"/>
        <v>-1691429</v>
      </c>
      <c r="CE370" s="133">
        <f t="shared" si="4098"/>
        <v>-1852172</v>
      </c>
      <c r="CF370" s="133">
        <f t="shared" si="4098"/>
        <v>-2012915</v>
      </c>
      <c r="CG370" s="133">
        <f t="shared" si="4098"/>
        <v>-2173658</v>
      </c>
      <c r="CH370" s="133">
        <f t="shared" si="4098"/>
        <v>-2334401</v>
      </c>
      <c r="CI370" s="133">
        <f t="shared" si="4098"/>
        <v>-2495144</v>
      </c>
      <c r="CJ370" s="133">
        <f t="shared" si="4098"/>
        <v>-2655887</v>
      </c>
      <c r="CK370" s="133">
        <f t="shared" si="4098"/>
        <v>-2816630</v>
      </c>
      <c r="CL370" s="133">
        <f t="shared" si="4098"/>
        <v>-2977373</v>
      </c>
      <c r="CM370" s="133">
        <f t="shared" si="4098"/>
        <v>-3138116</v>
      </c>
      <c r="CN370" s="133">
        <f t="shared" si="4098"/>
        <v>-3298859</v>
      </c>
      <c r="CO370" s="133">
        <f t="shared" si="4098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99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100">IFERROR(CZ370/CY370,0)</f>
        <v>0</v>
      </c>
      <c r="DB370" s="4">
        <f t="shared" ref="DB370:DB371" si="4101">CY370*FH370</f>
        <v>0</v>
      </c>
      <c r="DC370" s="4">
        <f t="shared" ref="DC370:DC371" si="4102">CZ370*FH370</f>
        <v>0</v>
      </c>
      <c r="DD370" s="136">
        <f t="shared" ref="DD370:DD371" si="4103">IFERROR(DC370/DB370,0)</f>
        <v>0</v>
      </c>
      <c r="DE370" s="31">
        <v>0</v>
      </c>
      <c r="DG370" s="31">
        <v>0</v>
      </c>
      <c r="DH370" s="48">
        <f t="shared" ref="DH370:DH371" si="4104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105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106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107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108">$DF370*BK370/30</f>
        <v>0</v>
      </c>
      <c r="DY370" s="62">
        <f t="shared" ref="DY370:DY371" si="4109">DX370*$FH370</f>
        <v>0</v>
      </c>
      <c r="DZ370" s="48">
        <f t="shared" ref="DZ370:DZ371" si="4110">IFERROR(ROUNDUP(DX370/$EX370,0)*$EY370,0)</f>
        <v>0</v>
      </c>
      <c r="EA370" s="62">
        <f t="shared" ref="EA370:EA371" si="4111">$DF370*BL370/30</f>
        <v>0</v>
      </c>
      <c r="EB370" s="62">
        <f t="shared" ref="EB370:EB371" si="4112">EA370*$FH370</f>
        <v>0</v>
      </c>
      <c r="EC370" s="48">
        <f t="shared" ref="EC370:EC371" si="4113">IFERROR(ROUNDUP(EA370/$EX370,0)*$EY370,0)</f>
        <v>0</v>
      </c>
      <c r="ED370" s="62">
        <f t="shared" ref="ED370:ED371" si="4114">$DF370*BM370/30</f>
        <v>0</v>
      </c>
      <c r="EE370" s="62">
        <f t="shared" ref="EE370:EE371" si="4115">ED370*$FH370</f>
        <v>0</v>
      </c>
      <c r="EF370" s="48">
        <f t="shared" ref="EF370:EF371" si="4116">IFERROR(ROUNDUP(ED370/$EX370,0)*$EY370,0)</f>
        <v>0</v>
      </c>
      <c r="EG370" s="62">
        <f t="shared" ref="EG370:EG371" si="4117">$DF370*BN370/30</f>
        <v>0</v>
      </c>
      <c r="EH370" s="62">
        <f t="shared" ref="EH370:EH371" si="4118">EG370*$FH370</f>
        <v>0</v>
      </c>
      <c r="EI370" s="48">
        <f t="shared" ref="EI370:EI371" si="4119">IFERROR(ROUNDUP(EG370/$EX370,0)*$EY370,0)</f>
        <v>0</v>
      </c>
      <c r="EJ370" s="62">
        <f t="shared" ref="EJ370:EJ371" si="4120">$DF370*BO370/30</f>
        <v>0</v>
      </c>
      <c r="EK370" s="62">
        <f t="shared" ref="EK370:EK371" si="4121">EJ370*$FH370</f>
        <v>0</v>
      </c>
      <c r="EL370" s="48">
        <f t="shared" ref="EL370:EL371" si="4122">IFERROR(ROUNDUP(EJ370/$EX370,0)*$EY370,0)</f>
        <v>0</v>
      </c>
      <c r="EM370" s="62">
        <f t="shared" ref="EM370:EM371" si="4123">$DF370*BP370/30</f>
        <v>0</v>
      </c>
      <c r="EN370" s="62">
        <f t="shared" ref="EN370:EN371" si="4124">EM370*$FH370</f>
        <v>0</v>
      </c>
      <c r="EO370" s="48">
        <f t="shared" ref="EO370:EO371" si="4125">IFERROR(ROUNDUP(EM370/$EX370,0)*$EY370,0)</f>
        <v>0</v>
      </c>
      <c r="EP370" s="62">
        <f t="shared" ref="EP370:ER370" si="4126">BK370*$FH370</f>
        <v>94120</v>
      </c>
      <c r="EQ370" s="62">
        <f t="shared" si="4126"/>
        <v>147864</v>
      </c>
      <c r="ER370" s="62">
        <f t="shared" si="4126"/>
        <v>182378.40000000002</v>
      </c>
      <c r="ES370" s="62">
        <f t="shared" ref="ES370:EU370" si="4127">BN370*$FH370</f>
        <v>188148</v>
      </c>
      <c r="ET370" s="62">
        <f t="shared" si="4127"/>
        <v>98634.400000000009</v>
      </c>
      <c r="EU370" s="62">
        <f t="shared" si="4127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128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 t="shared" si="3622"/>
        <v>1</v>
      </c>
      <c r="FS370" s="120" t="b">
        <f t="shared" si="3623"/>
        <v>1</v>
      </c>
      <c r="FT370" s="120" t="b">
        <f t="shared" si="3624"/>
        <v>1</v>
      </c>
      <c r="FU370" s="120" t="b">
        <f t="shared" si="3625"/>
        <v>1</v>
      </c>
      <c r="FV370" s="120" t="b">
        <f t="shared" si="3626"/>
        <v>1</v>
      </c>
      <c r="FW370" s="104" t="b">
        <f t="shared" si="3637"/>
        <v>0</v>
      </c>
      <c r="FX370" s="120" t="b">
        <f t="shared" ref="FX370:FX371" si="4129">EXACT(FQ370,BI370)</f>
        <v>1</v>
      </c>
      <c r="FY370" s="104" t="s">
        <v>368</v>
      </c>
      <c r="FZ370" s="104" t="b">
        <f t="shared" ref="FZ370:FZ371" si="4130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131">EXACT(GD370,C370)</f>
        <v>1</v>
      </c>
      <c r="GI370" s="8" t="b">
        <f t="shared" ref="GI370:GI371" si="4132">EXACT(GG370,G370)</f>
        <v>0</v>
      </c>
      <c r="GJ370" s="31" t="s">
        <v>203</v>
      </c>
    </row>
    <row r="371" spans="1:192" hidden="1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74"/>
        <v>нет минмакс</v>
      </c>
      <c r="Q371" s="95">
        <v>162088</v>
      </c>
      <c r="R371" s="95">
        <f t="shared" si="4075"/>
        <v>1855907.5999999999</v>
      </c>
      <c r="S371" s="114">
        <v>1056</v>
      </c>
      <c r="T371" s="114">
        <v>10940.16</v>
      </c>
      <c r="U371" s="131">
        <f t="shared" si="4076"/>
        <v>1</v>
      </c>
      <c r="V371" s="115">
        <f t="shared" si="4077"/>
        <v>110955</v>
      </c>
      <c r="W371" s="115">
        <f t="shared" si="4078"/>
        <v>1270434.75</v>
      </c>
      <c r="X371" s="115">
        <f t="shared" si="4079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80"/>
        <v>0</v>
      </c>
      <c r="AF371" s="95">
        <f t="shared" si="4081"/>
        <v>0</v>
      </c>
      <c r="AG371" s="114">
        <v>0</v>
      </c>
      <c r="AH371" s="95">
        <f t="shared" si="4082"/>
        <v>110955</v>
      </c>
      <c r="AI371" s="114">
        <f t="shared" si="4083"/>
        <v>1270434.75</v>
      </c>
      <c r="AJ371" s="114">
        <f t="shared" si="4084"/>
        <v>21762</v>
      </c>
      <c r="AK371" s="114">
        <f t="shared" si="4085"/>
        <v>21812</v>
      </c>
      <c r="AL371" s="114">
        <f t="shared" si="4086"/>
        <v>21812</v>
      </c>
      <c r="AM371" s="114">
        <f t="shared" si="4087"/>
        <v>233833</v>
      </c>
      <c r="AN371" s="133">
        <f t="shared" si="4088"/>
        <v>0.81288783020360689</v>
      </c>
      <c r="AO371" s="133" t="str">
        <f t="shared" si="4089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90"/>
        <v>0-03</v>
      </c>
      <c r="AW371" s="126">
        <f t="shared" si="4091"/>
        <v>0</v>
      </c>
      <c r="AX371" s="138"/>
      <c r="AY371" s="115">
        <f t="shared" si="4092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93"/>
        <v>0</v>
      </c>
      <c r="BG371" s="32">
        <v>0</v>
      </c>
      <c r="BH371" s="32">
        <f t="shared" si="4094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95"/>
        <v>38972.166666666664</v>
      </c>
      <c r="BR371" s="95">
        <f t="shared" si="4096"/>
        <v>92088</v>
      </c>
      <c r="BS371" s="133">
        <f t="shared" ref="BS371:BW371" si="4133">BR371-BL371</f>
        <v>16720</v>
      </c>
      <c r="BT371" s="133">
        <f t="shared" si="4133"/>
        <v>-10869</v>
      </c>
      <c r="BU371" s="133">
        <f t="shared" si="4133"/>
        <v>-33093</v>
      </c>
      <c r="BV371" s="133">
        <f t="shared" si="4133"/>
        <v>-53002</v>
      </c>
      <c r="BW371" s="133">
        <f t="shared" si="4133"/>
        <v>-71745</v>
      </c>
      <c r="BX371" s="133">
        <f t="shared" ref="BX371:CO371" si="4134">BW371-$BQ371</f>
        <v>-110717.16666666666</v>
      </c>
      <c r="BY371" s="133">
        <f t="shared" si="4134"/>
        <v>-149689.33333333331</v>
      </c>
      <c r="BZ371" s="133">
        <f t="shared" si="4134"/>
        <v>-188661.49999999997</v>
      </c>
      <c r="CA371" s="133">
        <f t="shared" si="4134"/>
        <v>-227633.66666666663</v>
      </c>
      <c r="CB371" s="133">
        <f t="shared" si="4134"/>
        <v>-266605.83333333331</v>
      </c>
      <c r="CC371" s="133">
        <f t="shared" si="4134"/>
        <v>-305578</v>
      </c>
      <c r="CD371" s="133">
        <f t="shared" si="4134"/>
        <v>-344550.16666666669</v>
      </c>
      <c r="CE371" s="133">
        <f t="shared" si="4134"/>
        <v>-383522.33333333337</v>
      </c>
      <c r="CF371" s="133">
        <f t="shared" si="4134"/>
        <v>-422494.50000000006</v>
      </c>
      <c r="CG371" s="133">
        <f t="shared" si="4134"/>
        <v>-461466.66666666674</v>
      </c>
      <c r="CH371" s="133">
        <f t="shared" si="4134"/>
        <v>-500438.83333333343</v>
      </c>
      <c r="CI371" s="133">
        <f t="shared" si="4134"/>
        <v>-539411.00000000012</v>
      </c>
      <c r="CJ371" s="133">
        <f t="shared" si="4134"/>
        <v>-578383.16666666674</v>
      </c>
      <c r="CK371" s="133">
        <f t="shared" si="4134"/>
        <v>-617355.33333333337</v>
      </c>
      <c r="CL371" s="133">
        <f t="shared" si="4134"/>
        <v>-656327.5</v>
      </c>
      <c r="CM371" s="133">
        <f t="shared" si="4134"/>
        <v>-695299.66666666663</v>
      </c>
      <c r="CN371" s="133">
        <f t="shared" si="4134"/>
        <v>-734271.83333333326</v>
      </c>
      <c r="CO371" s="133">
        <f t="shared" si="4134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99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100"/>
        <v>0</v>
      </c>
      <c r="DB371" s="4">
        <f t="shared" si="4101"/>
        <v>0</v>
      </c>
      <c r="DC371" s="4">
        <f t="shared" si="4102"/>
        <v>0</v>
      </c>
      <c r="DD371" s="136">
        <f t="shared" si="4103"/>
        <v>0</v>
      </c>
      <c r="DE371" s="31">
        <v>0</v>
      </c>
      <c r="DG371" s="31">
        <v>0</v>
      </c>
      <c r="DH371" s="48">
        <f t="shared" si="4104"/>
        <v>0</v>
      </c>
      <c r="DI371" s="62">
        <v>0</v>
      </c>
      <c r="DJ371" s="62">
        <v>0</v>
      </c>
      <c r="DK371" s="48">
        <f t="shared" si="4105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106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107"/>
        <v>1</v>
      </c>
      <c r="DV371" s="62">
        <v>40</v>
      </c>
      <c r="DW371" s="62">
        <v>389.20799999999997</v>
      </c>
      <c r="DX371" s="62">
        <f t="shared" si="4108"/>
        <v>0</v>
      </c>
      <c r="DY371" s="62">
        <f t="shared" si="4109"/>
        <v>0</v>
      </c>
      <c r="DZ371" s="48">
        <f t="shared" si="4110"/>
        <v>0</v>
      </c>
      <c r="EA371" s="62">
        <f t="shared" si="4111"/>
        <v>0</v>
      </c>
      <c r="EB371" s="62">
        <f t="shared" si="4112"/>
        <v>0</v>
      </c>
      <c r="EC371" s="48">
        <f t="shared" si="4113"/>
        <v>0</v>
      </c>
      <c r="ED371" s="62">
        <f t="shared" si="4114"/>
        <v>0</v>
      </c>
      <c r="EE371" s="62">
        <f t="shared" si="4115"/>
        <v>0</v>
      </c>
      <c r="EF371" s="48">
        <f t="shared" si="4116"/>
        <v>0</v>
      </c>
      <c r="EG371" s="62">
        <f t="shared" si="4117"/>
        <v>0</v>
      </c>
      <c r="EH371" s="62">
        <f t="shared" si="4118"/>
        <v>0</v>
      </c>
      <c r="EI371" s="48">
        <f t="shared" si="4119"/>
        <v>0</v>
      </c>
      <c r="EJ371" s="62">
        <f t="shared" si="4120"/>
        <v>0</v>
      </c>
      <c r="EK371" s="62">
        <f t="shared" si="4121"/>
        <v>0</v>
      </c>
      <c r="EL371" s="48">
        <f t="shared" si="4122"/>
        <v>0</v>
      </c>
      <c r="EM371" s="62">
        <f t="shared" si="4123"/>
        <v>0</v>
      </c>
      <c r="EN371" s="62">
        <f t="shared" si="4124"/>
        <v>0</v>
      </c>
      <c r="EO371" s="48">
        <f t="shared" si="4125"/>
        <v>0</v>
      </c>
      <c r="EP371" s="62">
        <f t="shared" ref="EP371:EU371" si="4135">BK371*$FH371</f>
        <v>801500</v>
      </c>
      <c r="EQ371" s="62">
        <f t="shared" si="4135"/>
        <v>862963.6</v>
      </c>
      <c r="ER371" s="62">
        <f t="shared" si="4135"/>
        <v>315894.05</v>
      </c>
      <c r="ES371" s="62">
        <f t="shared" si="4135"/>
        <v>254464.8</v>
      </c>
      <c r="ET371" s="62">
        <f t="shared" si="4135"/>
        <v>227958.05</v>
      </c>
      <c r="EU371" s="62">
        <f t="shared" si="4135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128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 t="shared" si="3622"/>
        <v>1</v>
      </c>
      <c r="FS371" s="120" t="b">
        <f t="shared" si="3623"/>
        <v>1</v>
      </c>
      <c r="FT371" s="120" t="b">
        <f t="shared" si="3624"/>
        <v>1</v>
      </c>
      <c r="FU371" s="120" t="b">
        <f t="shared" si="3625"/>
        <v>1</v>
      </c>
      <c r="FV371" s="120" t="b">
        <f t="shared" si="3626"/>
        <v>1</v>
      </c>
      <c r="FW371" s="104" t="b">
        <f t="shared" si="3637"/>
        <v>0</v>
      </c>
      <c r="FX371" s="120" t="b">
        <f t="shared" si="4129"/>
        <v>1</v>
      </c>
      <c r="FY371" s="104" t="s">
        <v>368</v>
      </c>
      <c r="FZ371" s="104" t="b">
        <f t="shared" si="4130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131"/>
        <v>1</v>
      </c>
      <c r="GI371" s="8" t="b">
        <f t="shared" si="4132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36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37">Q372*FH372</f>
        <v>0</v>
      </c>
      <c r="S372" s="131">
        <v>0</v>
      </c>
      <c r="T372" s="131">
        <v>0</v>
      </c>
      <c r="U372" s="131">
        <f t="shared" ref="U372" si="4138">IFERROR(ROUNDUP(S372/$EX372,0)*$EY372,0)</f>
        <v>0</v>
      </c>
      <c r="V372" s="113">
        <f t="shared" ref="V372" si="4139">SUM(Z372:AD372)</f>
        <v>0</v>
      </c>
      <c r="W372" s="113">
        <f t="shared" ref="W372" si="4140">V372*FH372</f>
        <v>0</v>
      </c>
      <c r="X372" s="113">
        <f t="shared" ref="X372" si="4141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42">AA372*FH372</f>
        <v>0</v>
      </c>
      <c r="AF372" s="95">
        <f t="shared" ref="AF372" si="4143">AB372*FH372</f>
        <v>0</v>
      </c>
      <c r="AG372" s="114">
        <v>0</v>
      </c>
      <c r="AH372" s="95">
        <f t="shared" ref="AH372" si="4144">V372-AG372</f>
        <v>0</v>
      </c>
      <c r="AI372" s="114">
        <f t="shared" ref="AI372" si="4145">IF(AH372&gt;0,AH372*FH372,0)</f>
        <v>0</v>
      </c>
      <c r="AJ372" s="133">
        <f t="shared" ref="AJ372" si="4146">CU372</f>
        <v>0</v>
      </c>
      <c r="AK372" s="133">
        <f t="shared" ref="AK372" si="4147">SUM(CS372:CU372)</f>
        <v>0</v>
      </c>
      <c r="AL372" s="133">
        <f t="shared" ref="AL372" si="4148">SUM(CP372:CU372)</f>
        <v>0</v>
      </c>
      <c r="AM372" s="133">
        <f t="shared" ref="AM372" si="4149">SUM(BK372:BP372)</f>
        <v>1938</v>
      </c>
      <c r="AN372" s="133">
        <f t="shared" ref="AN372" si="4150">IFERROR(S372/BQ372*30,"нет оборота")</f>
        <v>0</v>
      </c>
      <c r="AO372" s="133" t="str">
        <f t="shared" ref="AO372" si="4151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52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53">IF(AT372="Да",W372,0)</f>
        <v>0</v>
      </c>
      <c r="AX372" s="14"/>
      <c r="AY372" s="25">
        <f t="shared" ref="AY372" si="4154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55">BE372*FH372</f>
        <v>0</v>
      </c>
      <c r="BG372" s="32">
        <v>0</v>
      </c>
      <c r="BH372" s="32">
        <f t="shared" ref="BH372" si="4156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57">IF(COUNTIF(BK372:BP372,"&gt;0")=0,0,SUM(BK372:BP372)/COUNTIF(BK372:BP372,"&gt;0"))</f>
        <v>484.5</v>
      </c>
      <c r="BR372" s="95">
        <f t="shared" ref="BR372" si="4158">IF(OR(Q372=0,SUM(BK372:BP372)=0,V372&gt;Q372),V372-BK372,Q372-BK372)</f>
        <v>-748</v>
      </c>
      <c r="BS372" s="133">
        <f t="shared" ref="BS372:BW372" si="4159">BR372-BL372</f>
        <v>-748</v>
      </c>
      <c r="BT372" s="133">
        <f t="shared" si="4159"/>
        <v>-748</v>
      </c>
      <c r="BU372" s="133">
        <f t="shared" si="4159"/>
        <v>-1156</v>
      </c>
      <c r="BV372" s="133">
        <f t="shared" si="4159"/>
        <v>-1564</v>
      </c>
      <c r="BW372" s="133">
        <f t="shared" si="4159"/>
        <v>-1938</v>
      </c>
      <c r="BX372" s="133">
        <f t="shared" ref="BX372:CO372" si="4160">BW372-$BQ372</f>
        <v>-2422.5</v>
      </c>
      <c r="BY372" s="133">
        <f t="shared" si="4160"/>
        <v>-2907</v>
      </c>
      <c r="BZ372" s="133">
        <f t="shared" si="4160"/>
        <v>-3391.5</v>
      </c>
      <c r="CA372" s="133">
        <f t="shared" si="4160"/>
        <v>-3876</v>
      </c>
      <c r="CB372" s="133">
        <f t="shared" si="4160"/>
        <v>-4360.5</v>
      </c>
      <c r="CC372" s="133">
        <f t="shared" si="4160"/>
        <v>-4845</v>
      </c>
      <c r="CD372" s="133">
        <f t="shared" si="4160"/>
        <v>-5329.5</v>
      </c>
      <c r="CE372" s="133">
        <f t="shared" si="4160"/>
        <v>-5814</v>
      </c>
      <c r="CF372" s="133">
        <f t="shared" si="4160"/>
        <v>-6298.5</v>
      </c>
      <c r="CG372" s="133">
        <f t="shared" si="4160"/>
        <v>-6783</v>
      </c>
      <c r="CH372" s="133">
        <f t="shared" si="4160"/>
        <v>-7267.5</v>
      </c>
      <c r="CI372" s="133">
        <f t="shared" si="4160"/>
        <v>-7752</v>
      </c>
      <c r="CJ372" s="133">
        <f t="shared" si="4160"/>
        <v>-8236.5</v>
      </c>
      <c r="CK372" s="133">
        <f t="shared" si="4160"/>
        <v>-8721</v>
      </c>
      <c r="CL372" s="133">
        <f t="shared" si="4160"/>
        <v>-9205.5</v>
      </c>
      <c r="CM372" s="133">
        <f t="shared" si="4160"/>
        <v>-9690</v>
      </c>
      <c r="CN372" s="133">
        <f t="shared" si="4160"/>
        <v>-10174.5</v>
      </c>
      <c r="CO372" s="133">
        <f t="shared" si="4160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61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62">IFERROR(CZ372/CY372,0)</f>
        <v>0</v>
      </c>
      <c r="DB372" s="4">
        <f t="shared" ref="DB372" si="4163">CY372*FH372</f>
        <v>0</v>
      </c>
      <c r="DC372" s="4">
        <f t="shared" ref="DC372" si="4164">CZ372*FH372</f>
        <v>0</v>
      </c>
      <c r="DD372" s="136">
        <f t="shared" ref="DD372" si="4165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66">IFERROR(ROUNDUP(DG372/$EX372,0)*$EY372,0)</f>
        <v>0</v>
      </c>
      <c r="DI372" s="62">
        <v>0</v>
      </c>
      <c r="DJ372" s="62">
        <v>0</v>
      </c>
      <c r="DK372" s="48">
        <f t="shared" ref="DK372" si="4167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68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69">IFERROR(ROUNDUP(DS372/$EX372,0)*$EY372,0)</f>
        <v>0</v>
      </c>
      <c r="DV372" s="62">
        <v>0</v>
      </c>
      <c r="DW372" s="62">
        <v>0</v>
      </c>
      <c r="DX372" s="62">
        <f t="shared" ref="DX372" si="4170">$DF372*BK372/30</f>
        <v>1122</v>
      </c>
      <c r="DY372" s="62">
        <f t="shared" ref="DY372" si="4171">DX372*$FH372</f>
        <v>46125.42</v>
      </c>
      <c r="DZ372" s="48">
        <f t="shared" ref="DZ372" si="4172">IFERROR(ROUNDUP(DX372/$EX372,0)*$EY372,0)</f>
        <v>3</v>
      </c>
      <c r="EA372" s="62">
        <f t="shared" ref="EA372" si="4173">$DF372*BL372/30</f>
        <v>0</v>
      </c>
      <c r="EB372" s="62">
        <f t="shared" ref="EB372" si="4174">EA372*$FH372</f>
        <v>0</v>
      </c>
      <c r="EC372" s="48">
        <f t="shared" ref="EC372" si="4175">IFERROR(ROUNDUP(EA372/$EX372,0)*$EY372,0)</f>
        <v>0</v>
      </c>
      <c r="ED372" s="62">
        <f t="shared" ref="ED372" si="4176">$DF372*BM372/30</f>
        <v>0</v>
      </c>
      <c r="EE372" s="62">
        <f t="shared" ref="EE372" si="4177">ED372*$FH372</f>
        <v>0</v>
      </c>
      <c r="EF372" s="48">
        <f t="shared" ref="EF372" si="4178">IFERROR(ROUNDUP(ED372/$EX372,0)*$EY372,0)</f>
        <v>0</v>
      </c>
      <c r="EG372" s="62">
        <f t="shared" ref="EG372" si="4179">$DF372*BN372/30</f>
        <v>612</v>
      </c>
      <c r="EH372" s="62">
        <f t="shared" ref="EH372" si="4180">EG372*$FH372</f>
        <v>25159.32</v>
      </c>
      <c r="EI372" s="48">
        <f t="shared" ref="EI372" si="4181">IFERROR(ROUNDUP(EG372/$EX372,0)*$EY372,0)</f>
        <v>1.5</v>
      </c>
      <c r="EJ372" s="62">
        <f t="shared" ref="EJ372" si="4182">$DF372*BO372/30</f>
        <v>612</v>
      </c>
      <c r="EK372" s="62">
        <f t="shared" ref="EK372" si="4183">EJ372*$FH372</f>
        <v>25159.32</v>
      </c>
      <c r="EL372" s="48">
        <f t="shared" ref="EL372" si="4184">IFERROR(ROUNDUP(EJ372/$EX372,0)*$EY372,0)</f>
        <v>1.5</v>
      </c>
      <c r="EM372" s="62">
        <f t="shared" ref="EM372" si="4185">$DF372*BP372/30</f>
        <v>561</v>
      </c>
      <c r="EN372" s="62">
        <f t="shared" ref="EN372" si="4186">EM372*$FH372</f>
        <v>23062.71</v>
      </c>
      <c r="EO372" s="48">
        <f t="shared" ref="EO372" si="4187">IFERROR(ROUNDUP(EM372/$EX372,0)*$EY372,0)</f>
        <v>1.5</v>
      </c>
      <c r="EP372" s="62">
        <f t="shared" ref="EP372:ER372" si="4188">BK372*$FH372</f>
        <v>30750.28</v>
      </c>
      <c r="EQ372" s="62">
        <f t="shared" si="4188"/>
        <v>0</v>
      </c>
      <c r="ER372" s="62">
        <f t="shared" si="4188"/>
        <v>0</v>
      </c>
      <c r="ES372" s="62">
        <f t="shared" ref="ES372:EU372" si="4189">BN372*$FH372</f>
        <v>16772.88</v>
      </c>
      <c r="ET372" s="62">
        <f t="shared" si="4189"/>
        <v>16772.88</v>
      </c>
      <c r="EU372" s="62">
        <f t="shared" si="4189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90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 t="shared" si="3622"/>
        <v>1</v>
      </c>
      <c r="FS372" s="103" t="b">
        <f t="shared" si="3623"/>
        <v>1</v>
      </c>
      <c r="FT372" s="103" t="b">
        <f t="shared" si="3624"/>
        <v>1</v>
      </c>
      <c r="FU372" s="103" t="b">
        <f t="shared" si="3625"/>
        <v>1</v>
      </c>
      <c r="FV372" s="103" t="b">
        <f t="shared" si="3626"/>
        <v>1</v>
      </c>
      <c r="FW372" s="104" t="b">
        <f t="shared" si="3637"/>
        <v>0</v>
      </c>
      <c r="FX372" s="120" t="b">
        <f t="shared" ref="FX372" si="4191">EXACT(FQ372,BI372)</f>
        <v>1</v>
      </c>
      <c r="FY372" s="104" t="s">
        <v>491</v>
      </c>
      <c r="FZ372" s="104" t="b">
        <f t="shared" ref="FZ372" si="4192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93">EXACT(GD372,C372)</f>
        <v>1</v>
      </c>
      <c r="GI372" s="8" t="b">
        <f t="shared" ref="GI372" si="4194">EXACT(GG372,G372)</f>
        <v>0</v>
      </c>
      <c r="GJ372" s="31" t="s">
        <v>203</v>
      </c>
    </row>
    <row r="373" spans="1:192" hidden="1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95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96">Q373*FH373</f>
        <v>0</v>
      </c>
      <c r="S373" s="131">
        <v>0</v>
      </c>
      <c r="T373" s="131">
        <v>0</v>
      </c>
      <c r="U373" s="131">
        <f t="shared" ref="U373:U374" si="4197">IFERROR(ROUNDUP(S373/$EX373,0)*$EY373,0)</f>
        <v>0</v>
      </c>
      <c r="V373" s="113">
        <f t="shared" ref="V373:V374" si="4198">SUM(Z373:AD373)</f>
        <v>0</v>
      </c>
      <c r="W373" s="113">
        <f t="shared" ref="W373:W374" si="4199">V373*FH373</f>
        <v>0</v>
      </c>
      <c r="X373" s="113">
        <f t="shared" ref="X373:X374" si="4200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201">AA373*FH373</f>
        <v>0</v>
      </c>
      <c r="AF373" s="95">
        <f t="shared" ref="AF373:AF374" si="4202">AB373*FH373</f>
        <v>0</v>
      </c>
      <c r="AG373" s="114">
        <v>0</v>
      </c>
      <c r="AH373" s="95">
        <f t="shared" ref="AH373:AH374" si="4203">V373-AG373</f>
        <v>0</v>
      </c>
      <c r="AI373" s="114">
        <f t="shared" ref="AI373:AI374" si="4204">IF(AH373&gt;0,AH373*FH373,0)</f>
        <v>0</v>
      </c>
      <c r="AJ373" s="133">
        <f t="shared" ref="AJ373:AJ374" si="4205">CU373</f>
        <v>0</v>
      </c>
      <c r="AK373" s="133">
        <f t="shared" ref="AK373:AK374" si="4206">SUM(CS373:CU373)</f>
        <v>0</v>
      </c>
      <c r="AL373" s="133">
        <f t="shared" ref="AL373:AL374" si="4207">SUM(CP373:CU373)</f>
        <v>1223</v>
      </c>
      <c r="AM373" s="133">
        <f t="shared" ref="AM373:AM374" si="4208">SUM(BK373:BP373)</f>
        <v>166</v>
      </c>
      <c r="AN373" s="133">
        <f t="shared" ref="AN373:AN374" si="4209">IFERROR(S373/BQ373*30,"нет оборота")</f>
        <v>0</v>
      </c>
      <c r="AO373" s="133" t="str">
        <f t="shared" ref="AO373:AO374" si="4210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211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212">IF(AT373="Да",W373,0)</f>
        <v>0</v>
      </c>
      <c r="AX373" s="14"/>
      <c r="AY373" s="25">
        <f t="shared" ref="AY373:AY374" si="4213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214">BE373*FH373</f>
        <v>0</v>
      </c>
      <c r="BG373" s="32">
        <v>0</v>
      </c>
      <c r="BH373" s="32">
        <f t="shared" ref="BH373:BH374" si="4215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216">IF(COUNTIF(BK373:BP373,"&gt;0")=0,0,SUM(BK373:BP373)/COUNTIF(BK373:BP373,"&gt;0"))</f>
        <v>83</v>
      </c>
      <c r="BR373" s="95">
        <f t="shared" ref="BR373:BR374" si="4217">IF(OR(Q373=0,SUM(BK373:BP373)=0,V373&gt;Q373),V373-BK373,Q373-BK373)</f>
        <v>0</v>
      </c>
      <c r="BS373" s="133">
        <f t="shared" ref="BS373:BW374" si="4218">BR373-BL373</f>
        <v>0</v>
      </c>
      <c r="BT373" s="133">
        <f t="shared" si="4218"/>
        <v>0</v>
      </c>
      <c r="BU373" s="133">
        <f t="shared" si="4218"/>
        <v>-83</v>
      </c>
      <c r="BV373" s="133">
        <f t="shared" si="4218"/>
        <v>-83</v>
      </c>
      <c r="BW373" s="133">
        <f t="shared" si="4218"/>
        <v>-166</v>
      </c>
      <c r="BX373" s="133">
        <f t="shared" ref="BX373:CO373" si="4219">BW373-$BQ373</f>
        <v>-249</v>
      </c>
      <c r="BY373" s="133">
        <f t="shared" si="4219"/>
        <v>-332</v>
      </c>
      <c r="BZ373" s="133">
        <f t="shared" si="4219"/>
        <v>-415</v>
      </c>
      <c r="CA373" s="133">
        <f t="shared" si="4219"/>
        <v>-498</v>
      </c>
      <c r="CB373" s="133">
        <f t="shared" si="4219"/>
        <v>-581</v>
      </c>
      <c r="CC373" s="133">
        <f t="shared" si="4219"/>
        <v>-664</v>
      </c>
      <c r="CD373" s="133">
        <f t="shared" si="4219"/>
        <v>-747</v>
      </c>
      <c r="CE373" s="133">
        <f t="shared" si="4219"/>
        <v>-830</v>
      </c>
      <c r="CF373" s="133">
        <f t="shared" si="4219"/>
        <v>-913</v>
      </c>
      <c r="CG373" s="133">
        <f t="shared" si="4219"/>
        <v>-996</v>
      </c>
      <c r="CH373" s="133">
        <f t="shared" si="4219"/>
        <v>-1079</v>
      </c>
      <c r="CI373" s="133">
        <f t="shared" si="4219"/>
        <v>-1162</v>
      </c>
      <c r="CJ373" s="133">
        <f t="shared" si="4219"/>
        <v>-1245</v>
      </c>
      <c r="CK373" s="133">
        <f t="shared" si="4219"/>
        <v>-1328</v>
      </c>
      <c r="CL373" s="133">
        <f t="shared" si="4219"/>
        <v>-1411</v>
      </c>
      <c r="CM373" s="133">
        <f t="shared" si="4219"/>
        <v>-1494</v>
      </c>
      <c r="CN373" s="133">
        <f t="shared" si="4219"/>
        <v>-1577</v>
      </c>
      <c r="CO373" s="133">
        <f t="shared" si="4219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220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221">IFERROR(CZ373/CY373,0)</f>
        <v>0</v>
      </c>
      <c r="DB373" s="4">
        <f t="shared" ref="DB373:DB374" si="4222">CY373*FH373</f>
        <v>0</v>
      </c>
      <c r="DC373" s="4">
        <f t="shared" ref="DC373:DC374" si="4223">CZ373*FH373</f>
        <v>0</v>
      </c>
      <c r="DD373" s="136">
        <f t="shared" ref="DD373:DD374" si="4224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225">IFERROR(ROUNDUP(DG373/$EX373,0)*$EY373,0)</f>
        <v>0</v>
      </c>
      <c r="DI373" s="62">
        <v>1223</v>
      </c>
      <c r="DJ373" s="62">
        <v>44276.04</v>
      </c>
      <c r="DK373" s="48">
        <f t="shared" ref="DK373:DK374" si="4226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227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228">IFERROR(ROUNDUP(DS373/$EX373,0)*$EY373,0)</f>
        <v>0</v>
      </c>
      <c r="DV373" s="62">
        <v>0</v>
      </c>
      <c r="DW373" s="62">
        <v>0</v>
      </c>
      <c r="DX373" s="62">
        <f t="shared" ref="DX373:DX374" si="4229">$DF373*BK373/30</f>
        <v>0</v>
      </c>
      <c r="DY373" s="62">
        <f t="shared" ref="DY373:DY374" si="4230">DX373*$FH373</f>
        <v>0</v>
      </c>
      <c r="DZ373" s="48">
        <f t="shared" ref="DZ373:DZ374" si="4231">IFERROR(ROUNDUP(DX373/$EX373,0)*$EY373,0)</f>
        <v>0</v>
      </c>
      <c r="EA373" s="62">
        <f t="shared" ref="EA373:EA374" si="4232">$DF373*BL373/30</f>
        <v>0</v>
      </c>
      <c r="EB373" s="62">
        <f t="shared" ref="EB373:EB374" si="4233">EA373*$FH373</f>
        <v>0</v>
      </c>
      <c r="EC373" s="48">
        <f t="shared" ref="EC373:EC374" si="4234">IFERROR(ROUNDUP(EA373/$EX373,0)*$EY373,0)</f>
        <v>0</v>
      </c>
      <c r="ED373" s="62">
        <f t="shared" ref="ED373:ED374" si="4235">$DF373*BM373/30</f>
        <v>0</v>
      </c>
      <c r="EE373" s="62">
        <f t="shared" ref="EE373:EE374" si="4236">ED373*$FH373</f>
        <v>0</v>
      </c>
      <c r="EF373" s="48">
        <f t="shared" ref="EF373:EF374" si="4237">IFERROR(ROUNDUP(ED373/$EX373,0)*$EY373,0)</f>
        <v>0</v>
      </c>
      <c r="EG373" s="62">
        <f t="shared" ref="EG373:EG374" si="4238">$DF373*BN373/30</f>
        <v>249</v>
      </c>
      <c r="EH373" s="62">
        <f t="shared" ref="EH373:EH374" si="4239">EG373*$FH373</f>
        <v>9013.8000000000011</v>
      </c>
      <c r="EI373" s="48">
        <f t="shared" ref="EI373:EI374" si="4240">IFERROR(ROUNDUP(EG373/$EX373,0)*$EY373,0)</f>
        <v>0</v>
      </c>
      <c r="EJ373" s="62">
        <f t="shared" ref="EJ373:EJ374" si="4241">$DF373*BO373/30</f>
        <v>0</v>
      </c>
      <c r="EK373" s="62">
        <f t="shared" ref="EK373:EK374" si="4242">EJ373*$FH373</f>
        <v>0</v>
      </c>
      <c r="EL373" s="48">
        <f t="shared" ref="EL373:EL374" si="4243">IFERROR(ROUNDUP(EJ373/$EX373,0)*$EY373,0)</f>
        <v>0</v>
      </c>
      <c r="EM373" s="62">
        <f t="shared" ref="EM373:EM374" si="4244">$DF373*BP373/30</f>
        <v>249</v>
      </c>
      <c r="EN373" s="62">
        <f t="shared" ref="EN373:EN374" si="4245">EM373*$FH373</f>
        <v>9013.8000000000011</v>
      </c>
      <c r="EO373" s="48">
        <f t="shared" ref="EO373:EO374" si="4246">IFERROR(ROUNDUP(EM373/$EX373,0)*$EY373,0)</f>
        <v>0</v>
      </c>
      <c r="EP373" s="62">
        <f t="shared" ref="EP373:ER374" si="4247">BK373*$FH373</f>
        <v>0</v>
      </c>
      <c r="EQ373" s="62">
        <f t="shared" si="4247"/>
        <v>0</v>
      </c>
      <c r="ER373" s="62">
        <f t="shared" si="4247"/>
        <v>0</v>
      </c>
      <c r="ES373" s="62">
        <f t="shared" ref="ES373:EU374" si="4248">BN373*$FH373</f>
        <v>3004.6000000000004</v>
      </c>
      <c r="ET373" s="62">
        <f t="shared" si="4248"/>
        <v>0</v>
      </c>
      <c r="EU373" s="62">
        <f t="shared" si="4248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49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 t="shared" si="3622"/>
        <v>0</v>
      </c>
      <c r="FS373" s="103" t="b">
        <f t="shared" si="3623"/>
        <v>0</v>
      </c>
      <c r="FT373" s="103" t="b">
        <f t="shared" si="3624"/>
        <v>0</v>
      </c>
      <c r="FU373" s="103" t="b">
        <f t="shared" si="3625"/>
        <v>0</v>
      </c>
      <c r="FV373" s="103" t="b">
        <f t="shared" si="3626"/>
        <v>1</v>
      </c>
      <c r="FW373" s="104" t="b">
        <f t="shared" si="3637"/>
        <v>0</v>
      </c>
      <c r="FX373" s="120" t="b">
        <f t="shared" ref="FX373:FX374" si="4250">EXACT(FQ373,BI373)</f>
        <v>1</v>
      </c>
      <c r="FY373" s="104" t="s">
        <v>214</v>
      </c>
      <c r="FZ373" s="104" t="b">
        <f t="shared" ref="FZ373:FZ374" si="4251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52">EXACT(GD373,C373)</f>
        <v>1</v>
      </c>
      <c r="GI373" s="8" t="b">
        <f t="shared" ref="GI373:GI374" si="4253">EXACT(GG373,G373)</f>
        <v>0</v>
      </c>
    </row>
    <row r="374" spans="1:192" hidden="1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95"/>
        <v>нет минмакс</v>
      </c>
      <c r="Q374" s="95">
        <v>0</v>
      </c>
      <c r="R374" s="95">
        <f t="shared" si="4196"/>
        <v>0</v>
      </c>
      <c r="S374" s="114">
        <v>0</v>
      </c>
      <c r="T374" s="114">
        <v>0</v>
      </c>
      <c r="U374" s="131">
        <f t="shared" si="4197"/>
        <v>0</v>
      </c>
      <c r="V374" s="115">
        <f t="shared" si="4198"/>
        <v>490.60501098632813</v>
      </c>
      <c r="W374" s="115">
        <f t="shared" si="4199"/>
        <v>68773.010440063474</v>
      </c>
      <c r="X374" s="115">
        <f t="shared" si="4200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201"/>
        <v>0</v>
      </c>
      <c r="AF374" s="95">
        <f t="shared" si="4202"/>
        <v>0</v>
      </c>
      <c r="AG374" s="114">
        <v>0</v>
      </c>
      <c r="AH374" s="95">
        <f t="shared" si="4203"/>
        <v>490.60501098632813</v>
      </c>
      <c r="AI374" s="114">
        <f t="shared" si="4204"/>
        <v>68773.010440063474</v>
      </c>
      <c r="AJ374" s="114">
        <f t="shared" si="4205"/>
        <v>0</v>
      </c>
      <c r="AK374" s="114">
        <f t="shared" si="4206"/>
        <v>0</v>
      </c>
      <c r="AL374" s="114">
        <f t="shared" si="4207"/>
        <v>0</v>
      </c>
      <c r="AM374" s="114">
        <f t="shared" si="4208"/>
        <v>7762.49</v>
      </c>
      <c r="AN374" s="133">
        <f t="shared" si="4209"/>
        <v>0</v>
      </c>
      <c r="AO374" s="133" t="str">
        <f t="shared" si="4210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211"/>
        <v>0-01</v>
      </c>
      <c r="AW374" s="126">
        <f t="shared" si="4212"/>
        <v>0</v>
      </c>
      <c r="AX374" s="138"/>
      <c r="AY374" s="115">
        <f t="shared" si="4213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214"/>
        <v>0</v>
      </c>
      <c r="BG374" s="32">
        <v>0</v>
      </c>
      <c r="BH374" s="32">
        <f t="shared" si="4215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216"/>
        <v>1293.7483333333332</v>
      </c>
      <c r="BR374" s="95">
        <f t="shared" si="4217"/>
        <v>-681.01498901367177</v>
      </c>
      <c r="BS374" s="133">
        <f t="shared" si="4218"/>
        <v>-2535.4049890136721</v>
      </c>
      <c r="BT374" s="133">
        <f t="shared" si="4218"/>
        <v>-3264.1349890136721</v>
      </c>
      <c r="BU374" s="133">
        <f t="shared" si="4218"/>
        <v>-4653.4149890136723</v>
      </c>
      <c r="BV374" s="133">
        <f t="shared" si="4218"/>
        <v>-6081.0749890136722</v>
      </c>
      <c r="BW374" s="133">
        <f t="shared" si="4218"/>
        <v>-7271.8849890136717</v>
      </c>
      <c r="BX374" s="133">
        <f t="shared" ref="BX374:CO374" si="4254">BW374-$BQ374</f>
        <v>-8565.6333223470047</v>
      </c>
      <c r="BY374" s="133">
        <f t="shared" si="4254"/>
        <v>-9859.3816556803376</v>
      </c>
      <c r="BZ374" s="133">
        <f t="shared" si="4254"/>
        <v>-11153.129989013671</v>
      </c>
      <c r="CA374" s="133">
        <f t="shared" si="4254"/>
        <v>-12446.878322347004</v>
      </c>
      <c r="CB374" s="133">
        <f t="shared" si="4254"/>
        <v>-13740.626655680337</v>
      </c>
      <c r="CC374" s="133">
        <f t="shared" si="4254"/>
        <v>-15034.37498901367</v>
      </c>
      <c r="CD374" s="133">
        <f t="shared" si="4254"/>
        <v>-16328.123322347003</v>
      </c>
      <c r="CE374" s="133">
        <f t="shared" si="4254"/>
        <v>-17621.871655680337</v>
      </c>
      <c r="CF374" s="133">
        <f t="shared" si="4254"/>
        <v>-18915.61998901367</v>
      </c>
      <c r="CG374" s="133">
        <f t="shared" si="4254"/>
        <v>-20209.368322347003</v>
      </c>
      <c r="CH374" s="133">
        <f t="shared" si="4254"/>
        <v>-21503.116655680336</v>
      </c>
      <c r="CI374" s="133">
        <f t="shared" si="4254"/>
        <v>-22796.864989013669</v>
      </c>
      <c r="CJ374" s="133">
        <f t="shared" si="4254"/>
        <v>-24090.613322347002</v>
      </c>
      <c r="CK374" s="133">
        <f t="shared" si="4254"/>
        <v>-25384.361655680335</v>
      </c>
      <c r="CL374" s="133">
        <f t="shared" si="4254"/>
        <v>-26678.109989013668</v>
      </c>
      <c r="CM374" s="133">
        <f t="shared" si="4254"/>
        <v>-27971.858322347001</v>
      </c>
      <c r="CN374" s="133">
        <f t="shared" si="4254"/>
        <v>-29265.606655680334</v>
      </c>
      <c r="CO374" s="133">
        <f t="shared" si="4254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220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221"/>
        <v>0</v>
      </c>
      <c r="DB374" s="4">
        <f t="shared" si="4222"/>
        <v>0</v>
      </c>
      <c r="DC374" s="4">
        <f t="shared" si="4223"/>
        <v>0</v>
      </c>
      <c r="DD374" s="136">
        <f t="shared" si="4224"/>
        <v>0</v>
      </c>
      <c r="DE374" s="31">
        <v>0</v>
      </c>
      <c r="DG374" s="31">
        <v>0</v>
      </c>
      <c r="DH374" s="48">
        <f t="shared" si="4225"/>
        <v>0</v>
      </c>
      <c r="DI374" s="62">
        <v>0</v>
      </c>
      <c r="DJ374" s="62">
        <v>0</v>
      </c>
      <c r="DK374" s="48">
        <f t="shared" si="4226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227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228"/>
        <v>0</v>
      </c>
      <c r="DV374" s="62">
        <v>0</v>
      </c>
      <c r="DW374" s="62">
        <v>0</v>
      </c>
      <c r="DX374" s="62">
        <f t="shared" si="4229"/>
        <v>0</v>
      </c>
      <c r="DY374" s="62">
        <f t="shared" si="4230"/>
        <v>0</v>
      </c>
      <c r="DZ374" s="48">
        <f t="shared" si="4231"/>
        <v>0</v>
      </c>
      <c r="EA374" s="62">
        <f t="shared" si="4232"/>
        <v>0</v>
      </c>
      <c r="EB374" s="62">
        <f t="shared" si="4233"/>
        <v>0</v>
      </c>
      <c r="EC374" s="48">
        <f t="shared" si="4234"/>
        <v>0</v>
      </c>
      <c r="ED374" s="62">
        <f t="shared" si="4235"/>
        <v>0</v>
      </c>
      <c r="EE374" s="62">
        <f t="shared" si="4236"/>
        <v>0</v>
      </c>
      <c r="EF374" s="48">
        <f t="shared" si="4237"/>
        <v>0</v>
      </c>
      <c r="EG374" s="62">
        <f t="shared" si="4238"/>
        <v>0</v>
      </c>
      <c r="EH374" s="62">
        <f t="shared" si="4239"/>
        <v>0</v>
      </c>
      <c r="EI374" s="48">
        <f t="shared" si="4240"/>
        <v>0</v>
      </c>
      <c r="EJ374" s="62">
        <f t="shared" si="4241"/>
        <v>0</v>
      </c>
      <c r="EK374" s="62">
        <f t="shared" si="4242"/>
        <v>0</v>
      </c>
      <c r="EL374" s="48">
        <f t="shared" si="4243"/>
        <v>0</v>
      </c>
      <c r="EM374" s="62">
        <f t="shared" si="4244"/>
        <v>0</v>
      </c>
      <c r="EN374" s="62">
        <f t="shared" si="4245"/>
        <v>0</v>
      </c>
      <c r="EO374" s="48">
        <f t="shared" si="4246"/>
        <v>0</v>
      </c>
      <c r="EP374" s="62">
        <f t="shared" si="4247"/>
        <v>164237.69159999999</v>
      </c>
      <c r="EQ374" s="62">
        <f t="shared" si="4247"/>
        <v>259948.39020000002</v>
      </c>
      <c r="ER374" s="62">
        <f t="shared" si="4247"/>
        <v>102153.3714</v>
      </c>
      <c r="ES374" s="62">
        <f t="shared" si="4248"/>
        <v>194749.27040000001</v>
      </c>
      <c r="ET374" s="62">
        <f t="shared" si="4248"/>
        <v>200129.37880000003</v>
      </c>
      <c r="EU374" s="62">
        <f t="shared" si="4248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49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 t="shared" si="3622"/>
        <v>1</v>
      </c>
      <c r="FS374" s="120" t="b">
        <f t="shared" si="3623"/>
        <v>1</v>
      </c>
      <c r="FT374" s="120" t="b">
        <f t="shared" si="3624"/>
        <v>1</v>
      </c>
      <c r="FU374" s="120" t="b">
        <f t="shared" si="3625"/>
        <v>1</v>
      </c>
      <c r="FV374" s="120" t="b">
        <f t="shared" si="3626"/>
        <v>1</v>
      </c>
      <c r="FW374" s="104" t="b">
        <f t="shared" si="3637"/>
        <v>0</v>
      </c>
      <c r="FX374" s="120" t="b">
        <f t="shared" si="4250"/>
        <v>1</v>
      </c>
      <c r="FY374" s="104" t="s">
        <v>368</v>
      </c>
      <c r="FZ374" s="104" t="b">
        <f t="shared" si="4251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52"/>
        <v>1</v>
      </c>
      <c r="GI374" s="8" t="b">
        <f t="shared" si="4253"/>
        <v>0</v>
      </c>
      <c r="GJ374" s="31" t="s">
        <v>203</v>
      </c>
    </row>
    <row r="375" spans="1:192" hidden="1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55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56">Q375*FH375</f>
        <v>101276.23311584472</v>
      </c>
      <c r="S375" s="114">
        <v>0</v>
      </c>
      <c r="T375" s="114">
        <v>0</v>
      </c>
      <c r="U375" s="131">
        <f t="shared" ref="U375:U380" si="4257">IFERROR(ROUNDUP(S375/$EX375,0)*$EY375,0)</f>
        <v>0</v>
      </c>
      <c r="V375" s="115">
        <f t="shared" ref="V375:V377" si="4258">SUM(Z375:AD375)</f>
        <v>1201.4949951171875</v>
      </c>
      <c r="W375" s="115">
        <f t="shared" ref="W375:W380" si="4259">V375*FH375</f>
        <v>180981.19111450194</v>
      </c>
      <c r="X375" s="115">
        <f t="shared" ref="X375:X380" si="4260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61">AA375*FH375</f>
        <v>0</v>
      </c>
      <c r="AF375" s="95">
        <f t="shared" ref="AF375:AF380" si="4262">AB375*FH375</f>
        <v>0</v>
      </c>
      <c r="AG375" s="114">
        <v>0</v>
      </c>
      <c r="AH375" s="95">
        <f t="shared" ref="AH375:AH380" si="4263">V375-AG375</f>
        <v>1201.4949951171875</v>
      </c>
      <c r="AI375" s="114">
        <f t="shared" ref="AI375:AI380" si="4264">IF(AH375&gt;0,AH375*FH375,0)</f>
        <v>180981.19111450194</v>
      </c>
      <c r="AJ375" s="114">
        <f t="shared" ref="AJ375:AJ380" si="4265">CU375</f>
        <v>5612</v>
      </c>
      <c r="AK375" s="114">
        <f t="shared" ref="AK375:AK377" si="4266">SUM(CS375:CU375)</f>
        <v>23267</v>
      </c>
      <c r="AL375" s="114">
        <f t="shared" ref="AL375:AL380" si="4267">SUM(CP375:CU375)</f>
        <v>23267</v>
      </c>
      <c r="AM375" s="114">
        <f t="shared" ref="AM375:AM380" si="4268">SUM(BK375:BP375)</f>
        <v>46302.390000000007</v>
      </c>
      <c r="AN375" s="133">
        <f t="shared" ref="AN375:AN380" si="4269">IFERROR(S375/BQ375*30,"нет оборота")</f>
        <v>0</v>
      </c>
      <c r="AO375" s="133" t="str">
        <f t="shared" ref="AO375:AO380" si="4270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71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72">IF(AT375="Да",W375,0)</f>
        <v>0</v>
      </c>
      <c r="AX375" s="138"/>
      <c r="AY375" s="115">
        <f t="shared" ref="AY375:AY380" si="4273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74">BE375*FH375</f>
        <v>0</v>
      </c>
      <c r="BG375" s="32">
        <v>0</v>
      </c>
      <c r="BH375" s="32">
        <f t="shared" ref="BH375:BH380" si="4275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76">IF(COUNTIF(BK375:BP375,"&gt;0")=0,0,SUM(BK375:BP375)/COUNTIF(BK375:BP375,"&gt;0"))</f>
        <v>7717.0650000000014</v>
      </c>
      <c r="BR375" s="95">
        <f t="shared" ref="BR375:BR380" si="4277">IF(OR(Q375=0,SUM(BK375:BP375)=0,V375&gt;Q375),V375-BK375,Q375-BK375)</f>
        <v>-5876.1850048828128</v>
      </c>
      <c r="BS375" s="133">
        <f t="shared" ref="BS375:BW380" si="4278">BR375-BL375</f>
        <v>-13473.305004882812</v>
      </c>
      <c r="BT375" s="133">
        <f t="shared" si="4278"/>
        <v>-21593.465004882812</v>
      </c>
      <c r="BU375" s="133">
        <f t="shared" si="4278"/>
        <v>-29773.345004882813</v>
      </c>
      <c r="BV375" s="133">
        <f t="shared" si="4278"/>
        <v>-37625.775004882817</v>
      </c>
      <c r="BW375" s="133">
        <f t="shared" si="4278"/>
        <v>-45100.895004882819</v>
      </c>
      <c r="BX375" s="133">
        <f t="shared" ref="BX375:CO380" si="4279">BW375-$BQ375</f>
        <v>-52817.960004882822</v>
      </c>
      <c r="BY375" s="133">
        <f t="shared" si="4279"/>
        <v>-60535.025004882824</v>
      </c>
      <c r="BZ375" s="133">
        <f t="shared" si="4279"/>
        <v>-68252.090004882819</v>
      </c>
      <c r="CA375" s="133">
        <f t="shared" si="4279"/>
        <v>-75969.155004882821</v>
      </c>
      <c r="CB375" s="133">
        <f t="shared" si="4279"/>
        <v>-83686.220004882824</v>
      </c>
      <c r="CC375" s="133">
        <f t="shared" si="4279"/>
        <v>-91403.285004882826</v>
      </c>
      <c r="CD375" s="133">
        <f t="shared" si="4279"/>
        <v>-99120.350004882828</v>
      </c>
      <c r="CE375" s="133">
        <f t="shared" si="4279"/>
        <v>-106837.41500488283</v>
      </c>
      <c r="CF375" s="133">
        <f t="shared" si="4279"/>
        <v>-114554.48000488283</v>
      </c>
      <c r="CG375" s="133">
        <f t="shared" si="4279"/>
        <v>-122271.54500488284</v>
      </c>
      <c r="CH375" s="133">
        <f t="shared" si="4279"/>
        <v>-129988.61000488284</v>
      </c>
      <c r="CI375" s="133">
        <f t="shared" si="4279"/>
        <v>-137705.67500488283</v>
      </c>
      <c r="CJ375" s="133">
        <f t="shared" si="4279"/>
        <v>-145422.74000488283</v>
      </c>
      <c r="CK375" s="133">
        <f t="shared" si="4279"/>
        <v>-153139.80500488283</v>
      </c>
      <c r="CL375" s="133">
        <f t="shared" si="4279"/>
        <v>-160856.87000488283</v>
      </c>
      <c r="CM375" s="133">
        <f t="shared" si="4279"/>
        <v>-168573.93500488283</v>
      </c>
      <c r="CN375" s="133">
        <f t="shared" si="4279"/>
        <v>-176291.00000488284</v>
      </c>
      <c r="CO375" s="133">
        <f t="shared" si="4279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80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81">IFERROR(CZ375/CY375,0)</f>
        <v>0</v>
      </c>
      <c r="DB375" s="4">
        <f t="shared" ref="DB375:DB380" si="4282">CY375*FH375</f>
        <v>0</v>
      </c>
      <c r="DC375" s="4">
        <f t="shared" ref="DC375:DC380" si="4283">CZ375*FH375</f>
        <v>0</v>
      </c>
      <c r="DD375" s="136">
        <f t="shared" ref="DD375:DD380" si="4284">IFERROR(DC375/DB375,0)</f>
        <v>0</v>
      </c>
      <c r="DE375" s="31">
        <v>0</v>
      </c>
      <c r="DG375" s="31">
        <v>0</v>
      </c>
      <c r="DH375" s="48">
        <f t="shared" ref="DH375:DH380" si="4285">IFERROR(ROUNDUP(DG375/$EX375,0)*$EY375,0)</f>
        <v>0</v>
      </c>
      <c r="DI375" s="62">
        <v>0</v>
      </c>
      <c r="DJ375" s="62">
        <v>0</v>
      </c>
      <c r="DK375" s="48">
        <f t="shared" ref="DK375:DK380" si="4286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87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88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89">$DF375*BK375/30</f>
        <v>0</v>
      </c>
      <c r="DY375" s="62">
        <f t="shared" ref="DY375:DY380" si="4290">DX375*$FH375</f>
        <v>0</v>
      </c>
      <c r="DZ375" s="48">
        <f t="shared" ref="DZ375:DZ380" si="4291">IFERROR(ROUNDUP(DX375/$EX375,0)*$EY375,0)</f>
        <v>0</v>
      </c>
      <c r="EA375" s="62">
        <f t="shared" ref="EA375:EA380" si="4292">$DF375*BL375/30</f>
        <v>0</v>
      </c>
      <c r="EB375" s="62">
        <f t="shared" ref="EB375:EB380" si="4293">EA375*$FH375</f>
        <v>0</v>
      </c>
      <c r="EC375" s="48">
        <f t="shared" ref="EC375:EC380" si="4294">IFERROR(ROUNDUP(EA375/$EX375,0)*$EY375,0)</f>
        <v>0</v>
      </c>
      <c r="ED375" s="62">
        <f t="shared" ref="ED375:ED380" si="4295">$DF375*BM375/30</f>
        <v>0</v>
      </c>
      <c r="EE375" s="62">
        <f t="shared" ref="EE375:EE380" si="4296">ED375*$FH375</f>
        <v>0</v>
      </c>
      <c r="EF375" s="48">
        <f t="shared" ref="EF375:EF380" si="4297">IFERROR(ROUNDUP(ED375/$EX375,0)*$EY375,0)</f>
        <v>0</v>
      </c>
      <c r="EG375" s="62">
        <f t="shared" ref="EG375:EG380" si="4298">$DF375*BN375/30</f>
        <v>0</v>
      </c>
      <c r="EH375" s="62">
        <f t="shared" ref="EH375:EH380" si="4299">EG375*$FH375</f>
        <v>0</v>
      </c>
      <c r="EI375" s="48">
        <f t="shared" ref="EI375:EI380" si="4300">IFERROR(ROUNDUP(EG375/$EX375,0)*$EY375,0)</f>
        <v>0</v>
      </c>
      <c r="EJ375" s="62">
        <f t="shared" ref="EJ375:EJ380" si="4301">$DF375*BO375/30</f>
        <v>0</v>
      </c>
      <c r="EK375" s="62">
        <f t="shared" ref="EK375:EK380" si="4302">EJ375*$FH375</f>
        <v>0</v>
      </c>
      <c r="EL375" s="48">
        <f t="shared" ref="EL375:EL380" si="4303">IFERROR(ROUNDUP(EJ375/$EX375,0)*$EY375,0)</f>
        <v>0</v>
      </c>
      <c r="EM375" s="62">
        <f t="shared" ref="EM375:EM380" si="4304">$DF375*BP375/30</f>
        <v>0</v>
      </c>
      <c r="EN375" s="62">
        <f t="shared" ref="EN375:EN380" si="4305">EM375*$FH375</f>
        <v>0</v>
      </c>
      <c r="EO375" s="48">
        <f t="shared" ref="EO375:EO380" si="4306">IFERROR(ROUNDUP(EM375/$EX375,0)*$EY375,0)</f>
        <v>0</v>
      </c>
      <c r="EP375" s="62">
        <f t="shared" ref="EP375:ER380" si="4307">BK375*$FH375</f>
        <v>1066110.9384000001</v>
      </c>
      <c r="EQ375" s="62">
        <f t="shared" si="4307"/>
        <v>1144354.1856</v>
      </c>
      <c r="ER375" s="62">
        <f t="shared" si="4307"/>
        <v>1223139.7008</v>
      </c>
      <c r="ES375" s="62">
        <f t="shared" ref="ES375:EU380" si="4308">BN375*$FH375</f>
        <v>1232135.3244</v>
      </c>
      <c r="ET375" s="62">
        <f t="shared" si="4308"/>
        <v>1182811.5308999999</v>
      </c>
      <c r="EU375" s="62">
        <f t="shared" si="4308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309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 t="shared" si="3622"/>
        <v>1</v>
      </c>
      <c r="FS375" s="120" t="b">
        <f t="shared" si="3623"/>
        <v>1</v>
      </c>
      <c r="FT375" s="120" t="b">
        <f t="shared" si="3624"/>
        <v>1</v>
      </c>
      <c r="FU375" s="120" t="b">
        <f t="shared" si="3625"/>
        <v>1</v>
      </c>
      <c r="FV375" s="120" t="b">
        <f t="shared" si="3626"/>
        <v>1</v>
      </c>
      <c r="FW375" s="104" t="b">
        <f t="shared" si="3637"/>
        <v>0</v>
      </c>
      <c r="FX375" s="120" t="b">
        <f t="shared" ref="FX375:FX380" si="4310">EXACT(FQ375,BI375)</f>
        <v>1</v>
      </c>
      <c r="FY375" s="104" t="s">
        <v>368</v>
      </c>
      <c r="FZ375" s="104" t="b">
        <f t="shared" ref="FZ375:FZ380" si="4311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312">EXACT(GD375,C375)</f>
        <v>1</v>
      </c>
      <c r="GI375" s="8" t="b">
        <f t="shared" ref="GI375:GI380" si="4313">EXACT(GG375,G375)</f>
        <v>0</v>
      </c>
      <c r="GJ375" s="31" t="s">
        <v>203</v>
      </c>
    </row>
    <row r="376" spans="1:192" hidden="1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55"/>
        <v>нет минмакс</v>
      </c>
      <c r="Q376" s="95">
        <v>2.1089999675750732</v>
      </c>
      <c r="R376" s="95">
        <f t="shared" si="4256"/>
        <v>299.22491539955138</v>
      </c>
      <c r="S376" s="114">
        <v>0</v>
      </c>
      <c r="T376" s="114">
        <v>0</v>
      </c>
      <c r="U376" s="131">
        <f t="shared" si="4257"/>
        <v>0</v>
      </c>
      <c r="V376" s="115">
        <f t="shared" si="4258"/>
        <v>0.62800002098083496</v>
      </c>
      <c r="W376" s="115">
        <f t="shared" si="4259"/>
        <v>89.100642976760867</v>
      </c>
      <c r="X376" s="115">
        <f t="shared" si="4260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61"/>
        <v>0</v>
      </c>
      <c r="AF376" s="95">
        <f t="shared" si="4262"/>
        <v>0</v>
      </c>
      <c r="AG376" s="114">
        <v>0</v>
      </c>
      <c r="AH376" s="95">
        <f t="shared" si="4263"/>
        <v>0.62800002098083496</v>
      </c>
      <c r="AI376" s="114">
        <f t="shared" si="4264"/>
        <v>89.100642976760867</v>
      </c>
      <c r="AJ376" s="114">
        <f t="shared" si="4265"/>
        <v>27117</v>
      </c>
      <c r="AK376" s="114">
        <f t="shared" si="4266"/>
        <v>46390</v>
      </c>
      <c r="AL376" s="114">
        <f t="shared" si="4267"/>
        <v>48013</v>
      </c>
      <c r="AM376" s="114">
        <f t="shared" si="4268"/>
        <v>64690.68</v>
      </c>
      <c r="AN376" s="133">
        <f t="shared" si="4269"/>
        <v>0</v>
      </c>
      <c r="AO376" s="133" t="str">
        <f t="shared" si="4270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71"/>
        <v>0-01</v>
      </c>
      <c r="AW376" s="126">
        <f t="shared" si="4272"/>
        <v>0</v>
      </c>
      <c r="AX376" s="138"/>
      <c r="AY376" s="115">
        <f t="shared" si="4273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74"/>
        <v>0</v>
      </c>
      <c r="BG376" s="32">
        <v>0</v>
      </c>
      <c r="BH376" s="32">
        <f t="shared" si="4275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76"/>
        <v>10781.78</v>
      </c>
      <c r="BR376" s="95">
        <f t="shared" si="4277"/>
        <v>-14314.741000032425</v>
      </c>
      <c r="BS376" s="133">
        <f t="shared" si="4278"/>
        <v>-36617.801000032428</v>
      </c>
      <c r="BT376" s="133">
        <f t="shared" si="4278"/>
        <v>-43982.301000032428</v>
      </c>
      <c r="BU376" s="133">
        <f t="shared" si="4278"/>
        <v>-51867.591000032429</v>
      </c>
      <c r="BV376" s="133">
        <f t="shared" si="4278"/>
        <v>-58541.001000032426</v>
      </c>
      <c r="BW376" s="133">
        <f t="shared" si="4278"/>
        <v>-64688.571000032425</v>
      </c>
      <c r="BX376" s="133">
        <f t="shared" si="4279"/>
        <v>-75470.351000032431</v>
      </c>
      <c r="BY376" s="133">
        <f t="shared" si="4279"/>
        <v>-86252.13100003243</v>
      </c>
      <c r="BZ376" s="133">
        <f t="shared" si="4279"/>
        <v>-97033.911000032429</v>
      </c>
      <c r="CA376" s="133">
        <f t="shared" si="4279"/>
        <v>-107815.69100003243</v>
      </c>
      <c r="CB376" s="133">
        <f t="shared" si="4279"/>
        <v>-118597.47100003243</v>
      </c>
      <c r="CC376" s="133">
        <f t="shared" si="4279"/>
        <v>-129379.25100003243</v>
      </c>
      <c r="CD376" s="133">
        <f t="shared" si="4279"/>
        <v>-140161.03100003244</v>
      </c>
      <c r="CE376" s="133">
        <f t="shared" si="4279"/>
        <v>-150942.81100003244</v>
      </c>
      <c r="CF376" s="133">
        <f t="shared" si="4279"/>
        <v>-161724.59100003244</v>
      </c>
      <c r="CG376" s="133">
        <f t="shared" si="4279"/>
        <v>-172506.37100003244</v>
      </c>
      <c r="CH376" s="133">
        <f t="shared" si="4279"/>
        <v>-183288.15100003243</v>
      </c>
      <c r="CI376" s="133">
        <f t="shared" si="4279"/>
        <v>-194069.93100003243</v>
      </c>
      <c r="CJ376" s="133">
        <f t="shared" si="4279"/>
        <v>-204851.71100003243</v>
      </c>
      <c r="CK376" s="133">
        <f t="shared" si="4279"/>
        <v>-215633.49100003243</v>
      </c>
      <c r="CL376" s="133">
        <f t="shared" si="4279"/>
        <v>-226415.27100003243</v>
      </c>
      <c r="CM376" s="133">
        <f t="shared" si="4279"/>
        <v>-237197.05100003243</v>
      </c>
      <c r="CN376" s="133">
        <f t="shared" si="4279"/>
        <v>-247978.83100003243</v>
      </c>
      <c r="CO376" s="133">
        <f t="shared" si="4279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80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81"/>
        <v>0</v>
      </c>
      <c r="DB376" s="4">
        <f t="shared" si="4282"/>
        <v>0</v>
      </c>
      <c r="DC376" s="4">
        <f t="shared" si="4283"/>
        <v>0</v>
      </c>
      <c r="DD376" s="136">
        <f t="shared" si="4284"/>
        <v>0</v>
      </c>
      <c r="DE376" s="31">
        <v>0</v>
      </c>
      <c r="DG376" s="31">
        <v>0</v>
      </c>
      <c r="DH376" s="48">
        <f t="shared" si="4285"/>
        <v>0</v>
      </c>
      <c r="DI376" s="62">
        <v>0</v>
      </c>
      <c r="DJ376" s="62">
        <v>0</v>
      </c>
      <c r="DK376" s="48">
        <f t="shared" si="4286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87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88"/>
        <v>0</v>
      </c>
      <c r="DV376" s="62">
        <v>5826.8740000000007</v>
      </c>
      <c r="DW376" s="62">
        <v>923691.86273734085</v>
      </c>
      <c r="DX376" s="62">
        <f t="shared" si="4289"/>
        <v>0</v>
      </c>
      <c r="DY376" s="62">
        <f t="shared" si="4290"/>
        <v>0</v>
      </c>
      <c r="DZ376" s="48">
        <f t="shared" si="4291"/>
        <v>0</v>
      </c>
      <c r="EA376" s="62">
        <f t="shared" si="4292"/>
        <v>0</v>
      </c>
      <c r="EB376" s="62">
        <f t="shared" si="4293"/>
        <v>0</v>
      </c>
      <c r="EC376" s="48">
        <f t="shared" si="4294"/>
        <v>0</v>
      </c>
      <c r="ED376" s="62">
        <f t="shared" si="4295"/>
        <v>0</v>
      </c>
      <c r="EE376" s="62">
        <f t="shared" si="4296"/>
        <v>0</v>
      </c>
      <c r="EF376" s="48">
        <f t="shared" si="4297"/>
        <v>0</v>
      </c>
      <c r="EG376" s="62">
        <f t="shared" si="4298"/>
        <v>0</v>
      </c>
      <c r="EH376" s="62">
        <f t="shared" si="4299"/>
        <v>0</v>
      </c>
      <c r="EI376" s="48">
        <f t="shared" si="4300"/>
        <v>0</v>
      </c>
      <c r="EJ376" s="62">
        <f t="shared" si="4301"/>
        <v>0</v>
      </c>
      <c r="EK376" s="62">
        <f t="shared" si="4302"/>
        <v>0</v>
      </c>
      <c r="EL376" s="48">
        <f t="shared" si="4303"/>
        <v>0</v>
      </c>
      <c r="EM376" s="62">
        <f t="shared" si="4304"/>
        <v>0</v>
      </c>
      <c r="EN376" s="62">
        <f t="shared" si="4305"/>
        <v>0</v>
      </c>
      <c r="EO376" s="48">
        <f t="shared" si="4306"/>
        <v>0</v>
      </c>
      <c r="EP376" s="62">
        <f t="shared" si="4307"/>
        <v>2031274.6780000001</v>
      </c>
      <c r="EQ376" s="62">
        <f t="shared" si="4307"/>
        <v>3164358.1528000003</v>
      </c>
      <c r="ER376" s="62">
        <f t="shared" si="4307"/>
        <v>1044875.26</v>
      </c>
      <c r="ES376" s="62">
        <f t="shared" si="4308"/>
        <v>1118764.9452</v>
      </c>
      <c r="ET376" s="62">
        <f t="shared" si="4308"/>
        <v>946823.41079999995</v>
      </c>
      <c r="EU376" s="62">
        <f t="shared" si="4308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309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 t="shared" si="3622"/>
        <v>1</v>
      </c>
      <c r="FS376" s="120" t="b">
        <f t="shared" si="3623"/>
        <v>1</v>
      </c>
      <c r="FT376" s="120" t="b">
        <f t="shared" si="3624"/>
        <v>1</v>
      </c>
      <c r="FU376" s="120" t="b">
        <f t="shared" si="3625"/>
        <v>1</v>
      </c>
      <c r="FV376" s="120" t="b">
        <f t="shared" si="3626"/>
        <v>1</v>
      </c>
      <c r="FW376" s="104" t="b">
        <f t="shared" si="3637"/>
        <v>0</v>
      </c>
      <c r="FX376" s="120" t="b">
        <f t="shared" si="4310"/>
        <v>1</v>
      </c>
      <c r="FY376" s="104" t="s">
        <v>368</v>
      </c>
      <c r="FZ376" s="104" t="b">
        <f t="shared" si="4311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312"/>
        <v>1</v>
      </c>
      <c r="GI376" s="8" t="b">
        <f t="shared" si="4313"/>
        <v>0</v>
      </c>
      <c r="GJ376" s="31" t="s">
        <v>203</v>
      </c>
    </row>
    <row r="377" spans="1:192" hidden="1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55"/>
        <v>нет минмакс</v>
      </c>
      <c r="Q377" s="95">
        <v>0</v>
      </c>
      <c r="R377" s="95">
        <f t="shared" si="4256"/>
        <v>0</v>
      </c>
      <c r="S377" s="114">
        <v>0</v>
      </c>
      <c r="T377" s="114">
        <v>0</v>
      </c>
      <c r="U377" s="131">
        <f t="shared" si="4257"/>
        <v>0</v>
      </c>
      <c r="V377" s="115">
        <f t="shared" si="4258"/>
        <v>0</v>
      </c>
      <c r="W377" s="115">
        <f t="shared" si="4259"/>
        <v>0</v>
      </c>
      <c r="X377" s="115">
        <f t="shared" si="4260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61"/>
        <v>0</v>
      </c>
      <c r="AF377" s="95">
        <f t="shared" si="4262"/>
        <v>0</v>
      </c>
      <c r="AG377" s="114">
        <v>0</v>
      </c>
      <c r="AH377" s="95">
        <f t="shared" si="4263"/>
        <v>0</v>
      </c>
      <c r="AI377" s="114">
        <f t="shared" si="4264"/>
        <v>0</v>
      </c>
      <c r="AJ377" s="114">
        <f t="shared" si="4265"/>
        <v>0</v>
      </c>
      <c r="AK377" s="114">
        <f t="shared" si="4266"/>
        <v>0</v>
      </c>
      <c r="AL377" s="114">
        <f t="shared" si="4267"/>
        <v>0</v>
      </c>
      <c r="AM377" s="114">
        <f t="shared" si="4268"/>
        <v>19406.190000000002</v>
      </c>
      <c r="AN377" s="133">
        <f t="shared" si="4269"/>
        <v>0</v>
      </c>
      <c r="AO377" s="133" t="str">
        <f t="shared" si="4270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71"/>
        <v>нет остатка</v>
      </c>
      <c r="AW377" s="126">
        <f t="shared" si="4272"/>
        <v>0</v>
      </c>
      <c r="AX377" s="138"/>
      <c r="AY377" s="115">
        <f t="shared" si="4273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74"/>
        <v>0</v>
      </c>
      <c r="BG377" s="32">
        <v>0</v>
      </c>
      <c r="BH377" s="32">
        <f t="shared" si="4275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76"/>
        <v>3234.3650000000002</v>
      </c>
      <c r="BR377" s="95">
        <f t="shared" si="4277"/>
        <v>-2929.05</v>
      </c>
      <c r="BS377" s="133">
        <f t="shared" si="4278"/>
        <v>-7565.02</v>
      </c>
      <c r="BT377" s="133">
        <f t="shared" si="4278"/>
        <v>-9386.84</v>
      </c>
      <c r="BU377" s="133">
        <f t="shared" si="4278"/>
        <v>-12860.03</v>
      </c>
      <c r="BV377" s="133">
        <f t="shared" si="4278"/>
        <v>-16429.170000000002</v>
      </c>
      <c r="BW377" s="133">
        <f t="shared" si="4278"/>
        <v>-19406.190000000002</v>
      </c>
      <c r="BX377" s="133">
        <f t="shared" si="4279"/>
        <v>-22640.555000000004</v>
      </c>
      <c r="BY377" s="133">
        <f t="shared" si="4279"/>
        <v>-25874.920000000006</v>
      </c>
      <c r="BZ377" s="133">
        <f t="shared" si="4279"/>
        <v>-29109.285000000007</v>
      </c>
      <c r="CA377" s="133">
        <f t="shared" si="4279"/>
        <v>-32343.650000000009</v>
      </c>
      <c r="CB377" s="133">
        <f t="shared" si="4279"/>
        <v>-35578.015000000007</v>
      </c>
      <c r="CC377" s="133">
        <f t="shared" si="4279"/>
        <v>-38812.380000000005</v>
      </c>
      <c r="CD377" s="133">
        <f t="shared" si="4279"/>
        <v>-42046.745000000003</v>
      </c>
      <c r="CE377" s="133">
        <f t="shared" si="4279"/>
        <v>-45281.11</v>
      </c>
      <c r="CF377" s="133">
        <f t="shared" si="4279"/>
        <v>-48515.474999999999</v>
      </c>
      <c r="CG377" s="133">
        <f t="shared" si="4279"/>
        <v>-51749.84</v>
      </c>
      <c r="CH377" s="133">
        <f t="shared" si="4279"/>
        <v>-54984.204999999994</v>
      </c>
      <c r="CI377" s="133">
        <f t="shared" si="4279"/>
        <v>-58218.569999999992</v>
      </c>
      <c r="CJ377" s="133">
        <f t="shared" si="4279"/>
        <v>-61452.93499999999</v>
      </c>
      <c r="CK377" s="133">
        <f t="shared" si="4279"/>
        <v>-64687.299999999988</v>
      </c>
      <c r="CL377" s="133">
        <f t="shared" si="4279"/>
        <v>-67921.664999999994</v>
      </c>
      <c r="CM377" s="133">
        <f t="shared" si="4279"/>
        <v>-71156.03</v>
      </c>
      <c r="CN377" s="133">
        <f t="shared" si="4279"/>
        <v>-74390.395000000004</v>
      </c>
      <c r="CO377" s="133">
        <f t="shared" si="4279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80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81"/>
        <v>0</v>
      </c>
      <c r="DB377" s="4">
        <f t="shared" si="4282"/>
        <v>0</v>
      </c>
      <c r="DC377" s="4">
        <f t="shared" si="4283"/>
        <v>0</v>
      </c>
      <c r="DD377" s="136">
        <f t="shared" si="4284"/>
        <v>0</v>
      </c>
      <c r="DE377" s="31">
        <v>0</v>
      </c>
      <c r="DG377" s="31">
        <v>0</v>
      </c>
      <c r="DH377" s="48">
        <f t="shared" si="4285"/>
        <v>0</v>
      </c>
      <c r="DI377" s="62">
        <v>0</v>
      </c>
      <c r="DJ377" s="62">
        <v>0</v>
      </c>
      <c r="DK377" s="48">
        <f t="shared" si="4286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87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88"/>
        <v>0</v>
      </c>
      <c r="DV377" s="62">
        <v>0</v>
      </c>
      <c r="DW377" s="62">
        <v>0</v>
      </c>
      <c r="DX377" s="62">
        <f t="shared" si="4289"/>
        <v>0</v>
      </c>
      <c r="DY377" s="62">
        <f t="shared" si="4290"/>
        <v>0</v>
      </c>
      <c r="DZ377" s="48">
        <f t="shared" si="4291"/>
        <v>0</v>
      </c>
      <c r="EA377" s="62">
        <f t="shared" si="4292"/>
        <v>0</v>
      </c>
      <c r="EB377" s="62">
        <f t="shared" si="4293"/>
        <v>0</v>
      </c>
      <c r="EC377" s="48">
        <f t="shared" si="4294"/>
        <v>0</v>
      </c>
      <c r="ED377" s="62">
        <f t="shared" si="4295"/>
        <v>0</v>
      </c>
      <c r="EE377" s="62">
        <f t="shared" si="4296"/>
        <v>0</v>
      </c>
      <c r="EF377" s="48">
        <f t="shared" si="4297"/>
        <v>0</v>
      </c>
      <c r="EG377" s="62">
        <f t="shared" si="4298"/>
        <v>0</v>
      </c>
      <c r="EH377" s="62">
        <f t="shared" si="4299"/>
        <v>0</v>
      </c>
      <c r="EI377" s="48">
        <f t="shared" si="4300"/>
        <v>0</v>
      </c>
      <c r="EJ377" s="62">
        <f t="shared" si="4301"/>
        <v>0</v>
      </c>
      <c r="EK377" s="62">
        <f t="shared" si="4302"/>
        <v>0</v>
      </c>
      <c r="EL377" s="48">
        <f t="shared" si="4303"/>
        <v>0</v>
      </c>
      <c r="EM377" s="62">
        <f t="shared" si="4304"/>
        <v>0</v>
      </c>
      <c r="EN377" s="62">
        <f t="shared" si="4305"/>
        <v>0</v>
      </c>
      <c r="EO377" s="48">
        <f t="shared" si="4306"/>
        <v>0</v>
      </c>
      <c r="EP377" s="62">
        <f t="shared" si="4307"/>
        <v>411853.72050000005</v>
      </c>
      <c r="EQ377" s="62">
        <f t="shared" si="4307"/>
        <v>651863.74170000013</v>
      </c>
      <c r="ER377" s="62">
        <f t="shared" si="4307"/>
        <v>256166.11020000002</v>
      </c>
      <c r="ES377" s="62">
        <f t="shared" si="4308"/>
        <v>488365.24590000004</v>
      </c>
      <c r="ET377" s="62">
        <f t="shared" si="4308"/>
        <v>501856.77540000004</v>
      </c>
      <c r="EU377" s="62">
        <f t="shared" si="4308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309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 t="shared" si="3622"/>
        <v>1</v>
      </c>
      <c r="FS377" s="120" t="b">
        <f t="shared" si="3623"/>
        <v>1</v>
      </c>
      <c r="FT377" s="120" t="b">
        <f t="shared" si="3624"/>
        <v>1</v>
      </c>
      <c r="FU377" s="120" t="b">
        <f t="shared" si="3625"/>
        <v>1</v>
      </c>
      <c r="FV377" s="120" t="b">
        <f t="shared" si="3626"/>
        <v>1</v>
      </c>
      <c r="FW377" s="104" t="b">
        <f t="shared" si="3637"/>
        <v>0</v>
      </c>
      <c r="FX377" s="120" t="b">
        <f t="shared" si="4310"/>
        <v>1</v>
      </c>
      <c r="FY377" s="104" t="s">
        <v>368</v>
      </c>
      <c r="FZ377" s="104" t="b">
        <f t="shared" si="4311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312"/>
        <v>1</v>
      </c>
      <c r="GI377" s="8" t="b">
        <f t="shared" si="4313"/>
        <v>0</v>
      </c>
      <c r="GJ377" s="31" t="s">
        <v>203</v>
      </c>
    </row>
    <row r="378" spans="1:192" hidden="1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55"/>
        <v>нет минмакс</v>
      </c>
      <c r="Q378" s="95">
        <v>0</v>
      </c>
      <c r="R378" s="95">
        <f t="shared" si="4256"/>
        <v>0</v>
      </c>
      <c r="S378" s="114">
        <v>0</v>
      </c>
      <c r="T378" s="114">
        <v>0</v>
      </c>
      <c r="U378" s="131">
        <f t="shared" si="4257"/>
        <v>0</v>
      </c>
      <c r="V378" s="115">
        <f t="shared" ref="V378:V380" si="4314">SUM(Z378:AD378)</f>
        <v>0</v>
      </c>
      <c r="W378" s="115">
        <f t="shared" si="4259"/>
        <v>0</v>
      </c>
      <c r="X378" s="115">
        <f t="shared" si="4260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61"/>
        <v>0</v>
      </c>
      <c r="AF378" s="95">
        <f t="shared" si="4262"/>
        <v>0</v>
      </c>
      <c r="AG378" s="114">
        <v>0</v>
      </c>
      <c r="AH378" s="95">
        <f t="shared" si="4263"/>
        <v>0</v>
      </c>
      <c r="AI378" s="114">
        <f t="shared" si="4264"/>
        <v>0</v>
      </c>
      <c r="AJ378" s="114">
        <f t="shared" si="4265"/>
        <v>0</v>
      </c>
      <c r="AK378" s="114">
        <f t="shared" ref="AK378:AK380" si="4315">SUM(CS378:CU378)</f>
        <v>0</v>
      </c>
      <c r="AL378" s="114">
        <f t="shared" si="4267"/>
        <v>9078</v>
      </c>
      <c r="AM378" s="114">
        <f t="shared" si="4268"/>
        <v>829.48</v>
      </c>
      <c r="AN378" s="133">
        <f t="shared" si="4269"/>
        <v>0</v>
      </c>
      <c r="AO378" s="133" t="str">
        <f t="shared" si="4270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71"/>
        <v>нет остатка</v>
      </c>
      <c r="AW378" s="126">
        <f t="shared" si="4272"/>
        <v>0</v>
      </c>
      <c r="AX378" s="138"/>
      <c r="AY378" s="115">
        <f t="shared" si="4273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74"/>
        <v>0</v>
      </c>
      <c r="BG378" s="32">
        <v>0</v>
      </c>
      <c r="BH378" s="32">
        <f t="shared" si="4275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76"/>
        <v>414.74</v>
      </c>
      <c r="BR378" s="95">
        <f t="shared" si="4277"/>
        <v>0</v>
      </c>
      <c r="BS378" s="133">
        <f t="shared" si="4278"/>
        <v>-631.26</v>
      </c>
      <c r="BT378" s="133">
        <f t="shared" si="4278"/>
        <v>-631.26</v>
      </c>
      <c r="BU378" s="133">
        <f t="shared" si="4278"/>
        <v>-631.26</v>
      </c>
      <c r="BV378" s="133">
        <f t="shared" si="4278"/>
        <v>-631.26</v>
      </c>
      <c r="BW378" s="133">
        <f t="shared" si="4278"/>
        <v>-829.48</v>
      </c>
      <c r="BX378" s="133">
        <f t="shared" si="4279"/>
        <v>-1244.22</v>
      </c>
      <c r="BY378" s="133">
        <f t="shared" si="4279"/>
        <v>-1658.96</v>
      </c>
      <c r="BZ378" s="133">
        <f t="shared" si="4279"/>
        <v>-2073.6999999999998</v>
      </c>
      <c r="CA378" s="133">
        <f t="shared" si="4279"/>
        <v>-2488.4399999999996</v>
      </c>
      <c r="CB378" s="133">
        <f t="shared" si="4279"/>
        <v>-2903.1799999999994</v>
      </c>
      <c r="CC378" s="133">
        <f t="shared" si="4279"/>
        <v>-3317.9199999999992</v>
      </c>
      <c r="CD378" s="133">
        <f t="shared" si="4279"/>
        <v>-3732.6599999999989</v>
      </c>
      <c r="CE378" s="133">
        <f t="shared" si="4279"/>
        <v>-4147.3999999999987</v>
      </c>
      <c r="CF378" s="133">
        <f t="shared" si="4279"/>
        <v>-4562.1399999999985</v>
      </c>
      <c r="CG378" s="133">
        <f t="shared" si="4279"/>
        <v>-4976.8799999999983</v>
      </c>
      <c r="CH378" s="133">
        <f t="shared" si="4279"/>
        <v>-5391.6199999999981</v>
      </c>
      <c r="CI378" s="133">
        <f t="shared" si="4279"/>
        <v>-5806.3599999999979</v>
      </c>
      <c r="CJ378" s="133">
        <f t="shared" si="4279"/>
        <v>-6221.0999999999976</v>
      </c>
      <c r="CK378" s="133">
        <f t="shared" si="4279"/>
        <v>-6635.8399999999974</v>
      </c>
      <c r="CL378" s="133">
        <f t="shared" si="4279"/>
        <v>-7050.5799999999972</v>
      </c>
      <c r="CM378" s="133">
        <f t="shared" si="4279"/>
        <v>-7465.319999999997</v>
      </c>
      <c r="CN378" s="133">
        <f t="shared" si="4279"/>
        <v>-7880.0599999999968</v>
      </c>
      <c r="CO378" s="133">
        <f t="shared" si="4279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80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81"/>
        <v>0</v>
      </c>
      <c r="DB378" s="4">
        <f t="shared" si="4282"/>
        <v>0</v>
      </c>
      <c r="DC378" s="4">
        <f t="shared" si="4283"/>
        <v>0</v>
      </c>
      <c r="DD378" s="136">
        <f t="shared" si="4284"/>
        <v>0</v>
      </c>
      <c r="DE378" s="31">
        <v>0</v>
      </c>
      <c r="DG378" s="31">
        <v>0</v>
      </c>
      <c r="DH378" s="48">
        <f t="shared" si="4285"/>
        <v>0</v>
      </c>
      <c r="DI378" s="62">
        <v>1.08</v>
      </c>
      <c r="DJ378" s="62">
        <v>165.64699999999999</v>
      </c>
      <c r="DK378" s="48">
        <f t="shared" si="4286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87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88"/>
        <v>0</v>
      </c>
      <c r="DV378" s="62">
        <v>0</v>
      </c>
      <c r="DW378" s="62">
        <v>0</v>
      </c>
      <c r="DX378" s="62">
        <f t="shared" si="4289"/>
        <v>0</v>
      </c>
      <c r="DY378" s="62">
        <f t="shared" si="4290"/>
        <v>0</v>
      </c>
      <c r="DZ378" s="48">
        <f t="shared" si="4291"/>
        <v>0</v>
      </c>
      <c r="EA378" s="62">
        <f t="shared" si="4292"/>
        <v>0</v>
      </c>
      <c r="EB378" s="62">
        <f t="shared" si="4293"/>
        <v>0</v>
      </c>
      <c r="EC378" s="48">
        <f t="shared" si="4294"/>
        <v>0</v>
      </c>
      <c r="ED378" s="62">
        <f t="shared" si="4295"/>
        <v>0</v>
      </c>
      <c r="EE378" s="62">
        <f t="shared" si="4296"/>
        <v>0</v>
      </c>
      <c r="EF378" s="48">
        <f t="shared" si="4297"/>
        <v>0</v>
      </c>
      <c r="EG378" s="62">
        <f t="shared" si="4298"/>
        <v>0</v>
      </c>
      <c r="EH378" s="62">
        <f t="shared" si="4299"/>
        <v>0</v>
      </c>
      <c r="EI378" s="48">
        <f t="shared" si="4300"/>
        <v>0</v>
      </c>
      <c r="EJ378" s="62">
        <f t="shared" si="4301"/>
        <v>0</v>
      </c>
      <c r="EK378" s="62">
        <f t="shared" si="4302"/>
        <v>0</v>
      </c>
      <c r="EL378" s="48">
        <f t="shared" si="4303"/>
        <v>0</v>
      </c>
      <c r="EM378" s="62">
        <f t="shared" si="4304"/>
        <v>0</v>
      </c>
      <c r="EN378" s="62">
        <f t="shared" si="4305"/>
        <v>0</v>
      </c>
      <c r="EO378" s="48">
        <f t="shared" si="4306"/>
        <v>0</v>
      </c>
      <c r="EP378" s="62">
        <f t="shared" si="4307"/>
        <v>0</v>
      </c>
      <c r="EQ378" s="62">
        <f t="shared" si="4307"/>
        <v>96847.909199999995</v>
      </c>
      <c r="ER378" s="62">
        <f t="shared" si="4307"/>
        <v>0</v>
      </c>
      <c r="ES378" s="62">
        <f t="shared" si="4308"/>
        <v>0</v>
      </c>
      <c r="ET378" s="62">
        <f t="shared" si="4308"/>
        <v>0</v>
      </c>
      <c r="EU378" s="62">
        <f t="shared" si="4308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309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 t="shared" si="3622"/>
        <v>1</v>
      </c>
      <c r="FS378" s="120" t="b">
        <f t="shared" si="3623"/>
        <v>1</v>
      </c>
      <c r="FT378" s="120" t="b">
        <f t="shared" si="3624"/>
        <v>1</v>
      </c>
      <c r="FU378" s="120" t="b">
        <f t="shared" si="3625"/>
        <v>1</v>
      </c>
      <c r="FV378" s="120" t="b">
        <f t="shared" si="3626"/>
        <v>1</v>
      </c>
      <c r="FW378" s="104" t="b">
        <f t="shared" si="3637"/>
        <v>0</v>
      </c>
      <c r="FX378" s="120" t="b">
        <f t="shared" si="4310"/>
        <v>1</v>
      </c>
      <c r="FY378" s="104" t="s">
        <v>368</v>
      </c>
      <c r="FZ378" s="104" t="b">
        <f t="shared" si="4311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312"/>
        <v>1</v>
      </c>
      <c r="GI378" s="8" t="b">
        <f t="shared" si="4313"/>
        <v>0</v>
      </c>
      <c r="GJ378" s="31" t="s">
        <v>203</v>
      </c>
    </row>
    <row r="379" spans="1:192" hidden="1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55"/>
        <v>нет минмакс</v>
      </c>
      <c r="Q379" s="95">
        <v>0</v>
      </c>
      <c r="R379" s="95">
        <f t="shared" si="4256"/>
        <v>0</v>
      </c>
      <c r="S379" s="114">
        <v>0</v>
      </c>
      <c r="T379" s="114">
        <v>0</v>
      </c>
      <c r="U379" s="131">
        <f t="shared" si="4257"/>
        <v>0</v>
      </c>
      <c r="V379" s="115">
        <f t="shared" si="4314"/>
        <v>0</v>
      </c>
      <c r="W379" s="115">
        <f t="shared" si="4259"/>
        <v>0</v>
      </c>
      <c r="X379" s="115">
        <f t="shared" si="4260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61"/>
        <v>0</v>
      </c>
      <c r="AF379" s="95">
        <f t="shared" si="4262"/>
        <v>0</v>
      </c>
      <c r="AG379" s="114">
        <v>0</v>
      </c>
      <c r="AH379" s="95">
        <f t="shared" si="4263"/>
        <v>0</v>
      </c>
      <c r="AI379" s="114">
        <f t="shared" si="4264"/>
        <v>0</v>
      </c>
      <c r="AJ379" s="114">
        <f t="shared" si="4265"/>
        <v>1</v>
      </c>
      <c r="AK379" s="114">
        <f t="shared" si="4315"/>
        <v>25376</v>
      </c>
      <c r="AL379" s="114">
        <f t="shared" si="4267"/>
        <v>38215</v>
      </c>
      <c r="AM379" s="114">
        <f t="shared" si="4268"/>
        <v>58137.04</v>
      </c>
      <c r="AN379" s="133">
        <f t="shared" si="4269"/>
        <v>0</v>
      </c>
      <c r="AO379" s="133" t="str">
        <f t="shared" si="4270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71"/>
        <v>нет остатка</v>
      </c>
      <c r="AW379" s="126">
        <f t="shared" si="4272"/>
        <v>0</v>
      </c>
      <c r="AX379" s="138"/>
      <c r="AY379" s="115">
        <f t="shared" si="4273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74"/>
        <v>0</v>
      </c>
      <c r="BG379" s="32">
        <v>0</v>
      </c>
      <c r="BH379" s="32">
        <f t="shared" si="4275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76"/>
        <v>9689.5066666666662</v>
      </c>
      <c r="BR379" s="95">
        <f t="shared" si="4277"/>
        <v>-13711.69</v>
      </c>
      <c r="BS379" s="133">
        <f t="shared" si="4278"/>
        <v>-22148.07</v>
      </c>
      <c r="BT379" s="133">
        <f t="shared" si="4278"/>
        <v>-32676.03</v>
      </c>
      <c r="BU379" s="133">
        <f t="shared" si="4278"/>
        <v>-42532.29</v>
      </c>
      <c r="BV379" s="133">
        <f t="shared" si="4278"/>
        <v>-52436.36</v>
      </c>
      <c r="BW379" s="133">
        <f t="shared" si="4278"/>
        <v>-58137.04</v>
      </c>
      <c r="BX379" s="133">
        <f t="shared" si="4279"/>
        <v>-67826.546666666662</v>
      </c>
      <c r="BY379" s="133">
        <f t="shared" si="4279"/>
        <v>-77516.05333333333</v>
      </c>
      <c r="BZ379" s="133">
        <f t="shared" si="4279"/>
        <v>-87205.56</v>
      </c>
      <c r="CA379" s="133">
        <f t="shared" si="4279"/>
        <v>-96895.066666666666</v>
      </c>
      <c r="CB379" s="133">
        <f t="shared" si="4279"/>
        <v>-106584.57333333333</v>
      </c>
      <c r="CC379" s="133">
        <f t="shared" si="4279"/>
        <v>-116274.08</v>
      </c>
      <c r="CD379" s="133">
        <f t="shared" si="4279"/>
        <v>-125963.58666666667</v>
      </c>
      <c r="CE379" s="133">
        <f t="shared" si="4279"/>
        <v>-135653.09333333332</v>
      </c>
      <c r="CF379" s="133">
        <f t="shared" si="4279"/>
        <v>-145342.59999999998</v>
      </c>
      <c r="CG379" s="133">
        <f t="shared" si="4279"/>
        <v>-155032.10666666663</v>
      </c>
      <c r="CH379" s="133">
        <f t="shared" si="4279"/>
        <v>-164721.61333333328</v>
      </c>
      <c r="CI379" s="133">
        <f t="shared" si="4279"/>
        <v>-174411.11999999994</v>
      </c>
      <c r="CJ379" s="133">
        <f t="shared" si="4279"/>
        <v>-184100.62666666659</v>
      </c>
      <c r="CK379" s="133">
        <f t="shared" si="4279"/>
        <v>-193790.13333333324</v>
      </c>
      <c r="CL379" s="133">
        <f t="shared" si="4279"/>
        <v>-203479.6399999999</v>
      </c>
      <c r="CM379" s="133">
        <f t="shared" si="4279"/>
        <v>-213169.14666666655</v>
      </c>
      <c r="CN379" s="133">
        <f t="shared" si="4279"/>
        <v>-222858.6533333332</v>
      </c>
      <c r="CO379" s="133">
        <f t="shared" si="4279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80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81"/>
        <v>0</v>
      </c>
      <c r="DB379" s="4">
        <f t="shared" si="4282"/>
        <v>0</v>
      </c>
      <c r="DC379" s="4">
        <f t="shared" si="4283"/>
        <v>0</v>
      </c>
      <c r="DD379" s="136">
        <f t="shared" si="4284"/>
        <v>0</v>
      </c>
      <c r="DE379" s="31">
        <v>0</v>
      </c>
      <c r="DG379" s="31">
        <v>0</v>
      </c>
      <c r="DH379" s="48">
        <f t="shared" si="4285"/>
        <v>0</v>
      </c>
      <c r="DI379" s="62">
        <v>0</v>
      </c>
      <c r="DJ379" s="62">
        <v>0</v>
      </c>
      <c r="DK379" s="48">
        <f t="shared" si="4286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87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88"/>
        <v>0</v>
      </c>
      <c r="DV379" s="62">
        <v>0</v>
      </c>
      <c r="DW379" s="62">
        <v>0</v>
      </c>
      <c r="DX379" s="62">
        <f t="shared" si="4289"/>
        <v>0</v>
      </c>
      <c r="DY379" s="62">
        <f t="shared" si="4290"/>
        <v>0</v>
      </c>
      <c r="DZ379" s="48">
        <f t="shared" si="4291"/>
        <v>0</v>
      </c>
      <c r="EA379" s="62">
        <f t="shared" si="4292"/>
        <v>0</v>
      </c>
      <c r="EB379" s="62">
        <f t="shared" si="4293"/>
        <v>0</v>
      </c>
      <c r="EC379" s="48">
        <f t="shared" si="4294"/>
        <v>0</v>
      </c>
      <c r="ED379" s="62">
        <f t="shared" si="4295"/>
        <v>0</v>
      </c>
      <c r="EE379" s="62">
        <f t="shared" si="4296"/>
        <v>0</v>
      </c>
      <c r="EF379" s="48">
        <f t="shared" si="4297"/>
        <v>0</v>
      </c>
      <c r="EG379" s="62">
        <f t="shared" si="4298"/>
        <v>0</v>
      </c>
      <c r="EH379" s="62">
        <f t="shared" si="4299"/>
        <v>0</v>
      </c>
      <c r="EI379" s="48">
        <f t="shared" si="4300"/>
        <v>0</v>
      </c>
      <c r="EJ379" s="62">
        <f t="shared" si="4301"/>
        <v>0</v>
      </c>
      <c r="EK379" s="62">
        <f t="shared" si="4302"/>
        <v>0</v>
      </c>
      <c r="EL379" s="48">
        <f t="shared" si="4303"/>
        <v>0</v>
      </c>
      <c r="EM379" s="62">
        <f t="shared" si="4304"/>
        <v>0</v>
      </c>
      <c r="EN379" s="62">
        <f t="shared" si="4305"/>
        <v>0</v>
      </c>
      <c r="EO379" s="48">
        <f t="shared" si="4306"/>
        <v>0</v>
      </c>
      <c r="EP379" s="62">
        <f t="shared" si="4307"/>
        <v>2054011.1620000002</v>
      </c>
      <c r="EQ379" s="62">
        <f t="shared" si="4307"/>
        <v>1263769.7239999999</v>
      </c>
      <c r="ER379" s="62">
        <f t="shared" si="4307"/>
        <v>1577088.4080000001</v>
      </c>
      <c r="ES379" s="62">
        <f t="shared" si="4308"/>
        <v>1476467.7480000001</v>
      </c>
      <c r="ET379" s="62">
        <f t="shared" si="4308"/>
        <v>1483629.686</v>
      </c>
      <c r="EU379" s="62">
        <f t="shared" si="4308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309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 t="shared" si="3622"/>
        <v>1</v>
      </c>
      <c r="FS379" s="120" t="b">
        <f t="shared" si="3623"/>
        <v>1</v>
      </c>
      <c r="FT379" s="120" t="b">
        <f t="shared" si="3624"/>
        <v>1</v>
      </c>
      <c r="FU379" s="120" t="b">
        <f t="shared" si="3625"/>
        <v>1</v>
      </c>
      <c r="FV379" s="120" t="b">
        <f t="shared" si="3626"/>
        <v>1</v>
      </c>
      <c r="FW379" s="104" t="b">
        <f t="shared" si="3637"/>
        <v>0</v>
      </c>
      <c r="FX379" s="120" t="b">
        <f t="shared" si="4310"/>
        <v>1</v>
      </c>
      <c r="FY379" s="104" t="s">
        <v>368</v>
      </c>
      <c r="FZ379" s="104" t="b">
        <f t="shared" si="4311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312"/>
        <v>1</v>
      </c>
      <c r="GI379" s="8" t="b">
        <f t="shared" si="4313"/>
        <v>0</v>
      </c>
      <c r="GJ379" s="31" t="s">
        <v>203</v>
      </c>
    </row>
    <row r="380" spans="1:192" hidden="1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55"/>
        <v>нет минмакс</v>
      </c>
      <c r="Q380" s="95">
        <v>0</v>
      </c>
      <c r="R380" s="95">
        <f t="shared" si="4256"/>
        <v>0</v>
      </c>
      <c r="S380" s="114">
        <v>0</v>
      </c>
      <c r="T380" s="114">
        <v>0</v>
      </c>
      <c r="U380" s="131">
        <f t="shared" si="4257"/>
        <v>0</v>
      </c>
      <c r="V380" s="115">
        <f t="shared" si="4314"/>
        <v>0</v>
      </c>
      <c r="W380" s="115">
        <f t="shared" si="4259"/>
        <v>0</v>
      </c>
      <c r="X380" s="115">
        <f t="shared" si="4260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61"/>
        <v>0</v>
      </c>
      <c r="AF380" s="95">
        <f t="shared" si="4262"/>
        <v>0</v>
      </c>
      <c r="AG380" s="114">
        <v>0</v>
      </c>
      <c r="AH380" s="95">
        <f t="shared" si="4263"/>
        <v>0</v>
      </c>
      <c r="AI380" s="114">
        <f t="shared" si="4264"/>
        <v>0</v>
      </c>
      <c r="AJ380" s="114">
        <f t="shared" si="4265"/>
        <v>0</v>
      </c>
      <c r="AK380" s="114">
        <f t="shared" si="4315"/>
        <v>0</v>
      </c>
      <c r="AL380" s="114">
        <f t="shared" si="4267"/>
        <v>0</v>
      </c>
      <c r="AM380" s="114">
        <f t="shared" si="4268"/>
        <v>3187.57</v>
      </c>
      <c r="AN380" s="133">
        <f t="shared" si="4269"/>
        <v>0</v>
      </c>
      <c r="AO380" s="133" t="str">
        <f t="shared" si="4270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71"/>
        <v>нет остатка</v>
      </c>
      <c r="AW380" s="126">
        <f t="shared" si="4272"/>
        <v>0</v>
      </c>
      <c r="AX380" s="138"/>
      <c r="AY380" s="115">
        <f t="shared" si="4273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74"/>
        <v>0</v>
      </c>
      <c r="BG380" s="32">
        <v>0</v>
      </c>
      <c r="BH380" s="32">
        <f t="shared" si="4275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76"/>
        <v>637.51400000000001</v>
      </c>
      <c r="BR380" s="95">
        <f t="shared" si="4277"/>
        <v>-649.29999999999995</v>
      </c>
      <c r="BS380" s="133">
        <f t="shared" si="4278"/>
        <v>-649.29999999999995</v>
      </c>
      <c r="BT380" s="133">
        <f t="shared" si="4278"/>
        <v>-1190.3800000000001</v>
      </c>
      <c r="BU380" s="133">
        <f t="shared" si="4278"/>
        <v>-1839.68</v>
      </c>
      <c r="BV380" s="133">
        <f t="shared" si="4278"/>
        <v>-2380.7600000000002</v>
      </c>
      <c r="BW380" s="133">
        <f t="shared" si="4278"/>
        <v>-3187.57</v>
      </c>
      <c r="BX380" s="133">
        <f t="shared" si="4279"/>
        <v>-3825.0840000000003</v>
      </c>
      <c r="BY380" s="133">
        <f t="shared" si="4279"/>
        <v>-4462.598</v>
      </c>
      <c r="BZ380" s="133">
        <f t="shared" si="4279"/>
        <v>-5100.1120000000001</v>
      </c>
      <c r="CA380" s="133">
        <f t="shared" si="4279"/>
        <v>-5737.6260000000002</v>
      </c>
      <c r="CB380" s="133">
        <f t="shared" si="4279"/>
        <v>-6375.14</v>
      </c>
      <c r="CC380" s="133">
        <f t="shared" si="4279"/>
        <v>-7012.6540000000005</v>
      </c>
      <c r="CD380" s="133">
        <f t="shared" si="4279"/>
        <v>-7650.1680000000006</v>
      </c>
      <c r="CE380" s="133">
        <f t="shared" si="4279"/>
        <v>-8287.6820000000007</v>
      </c>
      <c r="CF380" s="133">
        <f t="shared" si="4279"/>
        <v>-8925.1959999999999</v>
      </c>
      <c r="CG380" s="133">
        <f t="shared" si="4279"/>
        <v>-9562.7099999999991</v>
      </c>
      <c r="CH380" s="133">
        <f t="shared" si="4279"/>
        <v>-10200.223999999998</v>
      </c>
      <c r="CI380" s="133">
        <f t="shared" si="4279"/>
        <v>-10837.737999999998</v>
      </c>
      <c r="CJ380" s="133">
        <f t="shared" si="4279"/>
        <v>-11475.251999999997</v>
      </c>
      <c r="CK380" s="133">
        <f t="shared" si="4279"/>
        <v>-12112.765999999996</v>
      </c>
      <c r="CL380" s="133">
        <f t="shared" si="4279"/>
        <v>-12750.279999999995</v>
      </c>
      <c r="CM380" s="133">
        <f t="shared" si="4279"/>
        <v>-13387.793999999994</v>
      </c>
      <c r="CN380" s="133">
        <f t="shared" si="4279"/>
        <v>-14025.307999999994</v>
      </c>
      <c r="CO380" s="133">
        <f t="shared" si="4279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80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81"/>
        <v>0</v>
      </c>
      <c r="DB380" s="4">
        <f t="shared" si="4282"/>
        <v>0</v>
      </c>
      <c r="DC380" s="4">
        <f t="shared" si="4283"/>
        <v>0</v>
      </c>
      <c r="DD380" s="136">
        <f t="shared" si="4284"/>
        <v>0</v>
      </c>
      <c r="DE380" s="31">
        <v>0</v>
      </c>
      <c r="DG380" s="31">
        <v>0</v>
      </c>
      <c r="DH380" s="48">
        <f t="shared" si="4285"/>
        <v>0</v>
      </c>
      <c r="DI380" s="62">
        <v>0</v>
      </c>
      <c r="DJ380" s="62">
        <v>0</v>
      </c>
      <c r="DK380" s="48">
        <f t="shared" si="4286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87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88"/>
        <v>0</v>
      </c>
      <c r="DV380" s="62">
        <v>0</v>
      </c>
      <c r="DW380" s="62">
        <v>0</v>
      </c>
      <c r="DX380" s="62">
        <f t="shared" si="4289"/>
        <v>0</v>
      </c>
      <c r="DY380" s="62">
        <f t="shared" si="4290"/>
        <v>0</v>
      </c>
      <c r="DZ380" s="48">
        <f t="shared" si="4291"/>
        <v>0</v>
      </c>
      <c r="EA380" s="62">
        <f t="shared" si="4292"/>
        <v>0</v>
      </c>
      <c r="EB380" s="62">
        <f t="shared" si="4293"/>
        <v>0</v>
      </c>
      <c r="EC380" s="48">
        <f t="shared" si="4294"/>
        <v>0</v>
      </c>
      <c r="ED380" s="62">
        <f t="shared" si="4295"/>
        <v>0</v>
      </c>
      <c r="EE380" s="62">
        <f t="shared" si="4296"/>
        <v>0</v>
      </c>
      <c r="EF380" s="48">
        <f t="shared" si="4297"/>
        <v>0</v>
      </c>
      <c r="EG380" s="62">
        <f t="shared" si="4298"/>
        <v>0</v>
      </c>
      <c r="EH380" s="62">
        <f t="shared" si="4299"/>
        <v>0</v>
      </c>
      <c r="EI380" s="48">
        <f t="shared" si="4300"/>
        <v>0</v>
      </c>
      <c r="EJ380" s="62">
        <f t="shared" si="4301"/>
        <v>0</v>
      </c>
      <c r="EK380" s="62">
        <f t="shared" si="4302"/>
        <v>0</v>
      </c>
      <c r="EL380" s="48">
        <f t="shared" si="4303"/>
        <v>0</v>
      </c>
      <c r="EM380" s="62">
        <f t="shared" si="4304"/>
        <v>0</v>
      </c>
      <c r="EN380" s="62">
        <f t="shared" si="4305"/>
        <v>0</v>
      </c>
      <c r="EO380" s="48">
        <f t="shared" si="4306"/>
        <v>0</v>
      </c>
      <c r="EP380" s="62">
        <f t="shared" si="4307"/>
        <v>104842.47099999999</v>
      </c>
      <c r="EQ380" s="62">
        <f t="shared" si="4307"/>
        <v>0</v>
      </c>
      <c r="ER380" s="62">
        <f t="shared" si="4307"/>
        <v>87368.187600000005</v>
      </c>
      <c r="ES380" s="62">
        <f t="shared" si="4308"/>
        <v>104842.47099999999</v>
      </c>
      <c r="ET380" s="62">
        <f t="shared" si="4308"/>
        <v>87368.187600000005</v>
      </c>
      <c r="EU380" s="62">
        <f t="shared" si="4308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309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 t="shared" si="3622"/>
        <v>1</v>
      </c>
      <c r="FS380" s="120" t="b">
        <f t="shared" si="3623"/>
        <v>1</v>
      </c>
      <c r="FT380" s="120" t="b">
        <f t="shared" si="3624"/>
        <v>1</v>
      </c>
      <c r="FU380" s="120" t="b">
        <f t="shared" si="3625"/>
        <v>1</v>
      </c>
      <c r="FV380" s="120" t="b">
        <f t="shared" si="3626"/>
        <v>1</v>
      </c>
      <c r="FW380" s="104" t="b">
        <f t="shared" si="3637"/>
        <v>0</v>
      </c>
      <c r="FX380" s="120" t="b">
        <f t="shared" si="4310"/>
        <v>1</v>
      </c>
      <c r="FY380" s="104" t="s">
        <v>368</v>
      </c>
      <c r="FZ380" s="104" t="b">
        <f t="shared" si="4311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312"/>
        <v>1</v>
      </c>
      <c r="GI380" s="8" t="b">
        <f t="shared" si="4313"/>
        <v>0</v>
      </c>
      <c r="GJ380" s="31" t="s">
        <v>203</v>
      </c>
    </row>
    <row r="381" spans="1:192" hidden="1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316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317">AA381*FH381</f>
        <v>0</v>
      </c>
      <c r="AF381" s="95">
        <f t="shared" ref="AF381:AF382" si="4318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319">IFERROR(S381/BQ381*30,"нет оборота")</f>
        <v>6.0278665983934463</v>
      </c>
      <c r="AO381" s="130" t="str">
        <f t="shared" ref="AO381:AO382" si="4320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321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322">IF(AT381="Да",W381,0)</f>
        <v>0</v>
      </c>
      <c r="AX381" s="144"/>
      <c r="AY381" s="146">
        <f t="shared" ref="AY381:AY382" si="4323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324">BE381*FH381</f>
        <v>0</v>
      </c>
      <c r="BG381" s="32">
        <v>0</v>
      </c>
      <c r="BH381" s="32">
        <f t="shared" ref="BH381:BH382" si="4325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326">IF(COUNTIF(BK381:BP381,"&gt;0")=0,0,SUM(BK381:BP381)/COUNTIF(BK381:BP381,"&gt;0"))</f>
        <v>1208370.3049999999</v>
      </c>
      <c r="BR381" s="95">
        <f t="shared" ref="BR381:BR382" si="4327">IF(OR(Q381=0,SUM(BK381:BP381)=0,V381&gt;Q381),V381-BK381,Q381-BK381)</f>
        <v>-463300.64375000005</v>
      </c>
      <c r="BS381" s="133">
        <f t="shared" ref="BS381:BW382" si="4328">BR381-BL381</f>
        <v>-1713673.05375</v>
      </c>
      <c r="BT381" s="133">
        <f t="shared" si="4328"/>
        <v>-2964134.6537500001</v>
      </c>
      <c r="BU381" s="133">
        <f t="shared" si="4328"/>
        <v>-4213665.9737499999</v>
      </c>
      <c r="BV381" s="133">
        <f t="shared" si="4328"/>
        <v>-5463531.5037500001</v>
      </c>
      <c r="BW381" s="133">
        <f t="shared" si="4328"/>
        <v>-6713496.4237500001</v>
      </c>
      <c r="BX381" s="133">
        <f t="shared" ref="BX381:CO382" si="4329">BW381-$BQ381</f>
        <v>-7921866.7287499998</v>
      </c>
      <c r="BY381" s="133">
        <f t="shared" si="4329"/>
        <v>-9130237.0337499995</v>
      </c>
      <c r="BZ381" s="133">
        <f t="shared" si="4329"/>
        <v>-10338607.338749999</v>
      </c>
      <c r="CA381" s="133">
        <f t="shared" si="4329"/>
        <v>-11546977.643749999</v>
      </c>
      <c r="CB381" s="133">
        <f t="shared" si="4329"/>
        <v>-12755347.948749999</v>
      </c>
      <c r="CC381" s="133">
        <f t="shared" si="4329"/>
        <v>-13963718.253749998</v>
      </c>
      <c r="CD381" s="133">
        <f t="shared" si="4329"/>
        <v>-15172088.558749998</v>
      </c>
      <c r="CE381" s="133">
        <f t="shared" si="4329"/>
        <v>-16380458.863749998</v>
      </c>
      <c r="CF381" s="133">
        <f t="shared" si="4329"/>
        <v>-17588829.168749999</v>
      </c>
      <c r="CG381" s="133">
        <f t="shared" si="4329"/>
        <v>-18797199.473749999</v>
      </c>
      <c r="CH381" s="133">
        <f t="shared" si="4329"/>
        <v>-20005569.778749999</v>
      </c>
      <c r="CI381" s="133">
        <f t="shared" si="4329"/>
        <v>-21213940.083749998</v>
      </c>
      <c r="CJ381" s="133">
        <f t="shared" si="4329"/>
        <v>-22422310.388749998</v>
      </c>
      <c r="CK381" s="133">
        <f t="shared" si="4329"/>
        <v>-23630680.693749998</v>
      </c>
      <c r="CL381" s="133">
        <f t="shared" si="4329"/>
        <v>-24839050.998749997</v>
      </c>
      <c r="CM381" s="133">
        <f t="shared" si="4329"/>
        <v>-26047421.303749997</v>
      </c>
      <c r="CN381" s="133">
        <f t="shared" si="4329"/>
        <v>-27255791.608749997</v>
      </c>
      <c r="CO381" s="133">
        <f t="shared" si="4329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330">IFERROR(CZ381/CY381,0)</f>
        <v>0</v>
      </c>
      <c r="DB381" s="4">
        <f t="shared" ref="DB381:DB382" si="4331">CY381*FH381</f>
        <v>0</v>
      </c>
      <c r="DC381" s="4">
        <f t="shared" ref="DC381:DC382" si="4332">CZ381*FH381</f>
        <v>0</v>
      </c>
      <c r="DD381" s="136">
        <f t="shared" ref="DD381:DD382" si="4333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334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 t="shared" si="3622"/>
        <v>0</v>
      </c>
      <c r="FS381" s="150" t="b">
        <f t="shared" si="3623"/>
        <v>0</v>
      </c>
      <c r="FT381" s="150" t="b">
        <f t="shared" si="3624"/>
        <v>0</v>
      </c>
      <c r="FU381" s="150" t="b">
        <f t="shared" si="3625"/>
        <v>0</v>
      </c>
      <c r="FV381" s="150" t="b">
        <f t="shared" si="3626"/>
        <v>1</v>
      </c>
      <c r="FW381" s="104" t="b">
        <f t="shared" si="3637"/>
        <v>0</v>
      </c>
      <c r="FX381" s="150" t="b">
        <f t="shared" ref="FX381:FX382" si="4335">EXACT(FQ381,BI381)</f>
        <v>1</v>
      </c>
      <c r="FY381" s="104" t="s">
        <v>368</v>
      </c>
      <c r="FZ381" s="104" t="b">
        <f t="shared" ref="FZ381:FZ382" si="4336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37">EXACT(GD381,C381)</f>
        <v>1</v>
      </c>
      <c r="GI381" s="151" t="b">
        <f t="shared" ref="GI381:GI382" si="4338">EXACT(GG381,G381)</f>
        <v>0</v>
      </c>
      <c r="GJ381" s="31" t="s">
        <v>203</v>
      </c>
    </row>
    <row r="382" spans="1:192" ht="30" hidden="1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316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317"/>
        <v>0</v>
      </c>
      <c r="AF382" s="95">
        <f t="shared" si="4318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319"/>
        <v>6.0278665983934463</v>
      </c>
      <c r="AO382" s="133" t="str">
        <f t="shared" si="4320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321"/>
        <v>0-01</v>
      </c>
      <c r="AW382" s="117">
        <f t="shared" si="4322"/>
        <v>0</v>
      </c>
      <c r="AX382" s="14"/>
      <c r="AY382" s="25">
        <f t="shared" si="4323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324"/>
        <v>0</v>
      </c>
      <c r="BG382" s="32">
        <v>0</v>
      </c>
      <c r="BH382" s="32">
        <f t="shared" si="4325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326"/>
        <v>1208370.3049999999</v>
      </c>
      <c r="BR382" s="95">
        <f t="shared" si="4327"/>
        <v>-463300.64375000005</v>
      </c>
      <c r="BS382" s="133">
        <f t="shared" si="4328"/>
        <v>-1713673.05375</v>
      </c>
      <c r="BT382" s="133">
        <f t="shared" si="4328"/>
        <v>-2964134.6537500001</v>
      </c>
      <c r="BU382" s="133">
        <f t="shared" si="4328"/>
        <v>-4213665.9737499999</v>
      </c>
      <c r="BV382" s="133">
        <f t="shared" si="4328"/>
        <v>-5463531.5037500001</v>
      </c>
      <c r="BW382" s="133">
        <f t="shared" si="4328"/>
        <v>-6713496.4237500001</v>
      </c>
      <c r="BX382" s="133">
        <f t="shared" si="4329"/>
        <v>-7921866.7287499998</v>
      </c>
      <c r="BY382" s="133">
        <f t="shared" si="4329"/>
        <v>-9130237.0337499995</v>
      </c>
      <c r="BZ382" s="133">
        <f t="shared" si="4329"/>
        <v>-10338607.338749999</v>
      </c>
      <c r="CA382" s="133">
        <f t="shared" si="4329"/>
        <v>-11546977.643749999</v>
      </c>
      <c r="CB382" s="133">
        <f t="shared" si="4329"/>
        <v>-12755347.948749999</v>
      </c>
      <c r="CC382" s="133">
        <f t="shared" si="4329"/>
        <v>-13963718.253749998</v>
      </c>
      <c r="CD382" s="133">
        <f t="shared" si="4329"/>
        <v>-15172088.558749998</v>
      </c>
      <c r="CE382" s="133">
        <f t="shared" si="4329"/>
        <v>-16380458.863749998</v>
      </c>
      <c r="CF382" s="133">
        <f t="shared" si="4329"/>
        <v>-17588829.168749999</v>
      </c>
      <c r="CG382" s="133">
        <f t="shared" si="4329"/>
        <v>-18797199.473749999</v>
      </c>
      <c r="CH382" s="133">
        <f t="shared" si="4329"/>
        <v>-20005569.778749999</v>
      </c>
      <c r="CI382" s="133">
        <f t="shared" si="4329"/>
        <v>-21213940.083749998</v>
      </c>
      <c r="CJ382" s="133">
        <f t="shared" si="4329"/>
        <v>-22422310.388749998</v>
      </c>
      <c r="CK382" s="133">
        <f t="shared" si="4329"/>
        <v>-23630680.693749998</v>
      </c>
      <c r="CL382" s="133">
        <f t="shared" si="4329"/>
        <v>-24839050.998749997</v>
      </c>
      <c r="CM382" s="133">
        <f t="shared" si="4329"/>
        <v>-26047421.303749997</v>
      </c>
      <c r="CN382" s="133">
        <f t="shared" si="4329"/>
        <v>-27255791.608749997</v>
      </c>
      <c r="CO382" s="133">
        <f t="shared" si="4329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330"/>
        <v>0</v>
      </c>
      <c r="DB382" s="4">
        <f t="shared" si="4331"/>
        <v>0</v>
      </c>
      <c r="DC382" s="4">
        <f t="shared" si="4332"/>
        <v>0</v>
      </c>
      <c r="DD382" s="136">
        <f t="shared" si="4333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39">BK382*$FH382</f>
        <v>120503139.02500001</v>
      </c>
      <c r="EQ382" s="62">
        <f t="shared" si="4339"/>
        <v>150669875.405</v>
      </c>
      <c r="ER382" s="62">
        <f t="shared" si="4339"/>
        <v>150680622.80000001</v>
      </c>
      <c r="ES382" s="62">
        <f t="shared" si="4339"/>
        <v>150568524.06</v>
      </c>
      <c r="ET382" s="62">
        <f t="shared" si="4339"/>
        <v>150608796.36500001</v>
      </c>
      <c r="EU382" s="62">
        <f t="shared" si="4339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334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 t="shared" si="3622"/>
        <v>1</v>
      </c>
      <c r="FS382" s="103" t="b">
        <f t="shared" si="3623"/>
        <v>1</v>
      </c>
      <c r="FT382" s="103" t="b">
        <f t="shared" si="3624"/>
        <v>0</v>
      </c>
      <c r="FU382" s="103" t="b">
        <f t="shared" si="3625"/>
        <v>0</v>
      </c>
      <c r="FV382" s="103" t="b">
        <f t="shared" si="3626"/>
        <v>1</v>
      </c>
      <c r="FW382" s="104" t="b">
        <f t="shared" si="3637"/>
        <v>0</v>
      </c>
      <c r="FX382" s="120" t="b">
        <f t="shared" si="4335"/>
        <v>1</v>
      </c>
      <c r="FY382" s="104" t="s">
        <v>368</v>
      </c>
      <c r="FZ382" s="104" t="b">
        <f t="shared" si="4336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37"/>
        <v>1</v>
      </c>
      <c r="GI382" s="8" t="b">
        <f t="shared" si="4338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40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41">AA383*FH383</f>
        <v>0</v>
      </c>
      <c r="AF383" s="95">
        <f t="shared" ref="AF383:AF385" si="4342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43">IFERROR(S383/BQ383*30,"нет оборота")</f>
        <v>98.885563539896651</v>
      </c>
      <c r="AO383" s="130" t="str">
        <f t="shared" ref="AO383:AO385" si="4344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45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46">IF(AT383="Да",W383,0)</f>
        <v>0</v>
      </c>
      <c r="AX383" s="144"/>
      <c r="AY383" s="146">
        <f t="shared" ref="AY383:AY385" si="4347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48">BE383*FH383</f>
        <v>0</v>
      </c>
      <c r="BG383" s="32">
        <v>0</v>
      </c>
      <c r="BH383" s="32">
        <f t="shared" ref="BH383:BH385" si="4349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50">IF(COUNTIF(BK383:BP383,"&gt;0")=0,0,SUM(BK383:BP383)/COUNTIF(BK383:BP383,"&gt;0"))</f>
        <v>16191.44</v>
      </c>
      <c r="BR383" s="95">
        <f t="shared" ref="BR383:BR385" si="4351">IF(OR(Q383=0,SUM(BK383:BP383)=0,V383&gt;Q383),V383-BK383,Q383-BK383)</f>
        <v>24010.289999008179</v>
      </c>
      <c r="BS383" s="133">
        <f t="shared" ref="BS383:BW389" si="4352">BR383-BL383</f>
        <v>7545.2899990081787</v>
      </c>
      <c r="BT383" s="133">
        <f t="shared" si="4352"/>
        <v>-24660.710000991821</v>
      </c>
      <c r="BU383" s="133">
        <f t="shared" si="4352"/>
        <v>-52835.710000991821</v>
      </c>
      <c r="BV383" s="133">
        <f t="shared" si="4352"/>
        <v>-59631.710000991821</v>
      </c>
      <c r="BW383" s="133">
        <f t="shared" si="4352"/>
        <v>-66319.350000991821</v>
      </c>
      <c r="BX383" s="133">
        <f t="shared" ref="BX383:CO385" si="4353">BW383-$BQ383</f>
        <v>-82510.790000991823</v>
      </c>
      <c r="BY383" s="133">
        <f t="shared" si="4353"/>
        <v>-98702.230000991825</v>
      </c>
      <c r="BZ383" s="133">
        <f t="shared" si="4353"/>
        <v>-114893.67000099183</v>
      </c>
      <c r="CA383" s="133">
        <f t="shared" si="4353"/>
        <v>-131085.11000099182</v>
      </c>
      <c r="CB383" s="133">
        <f t="shared" si="4353"/>
        <v>-147276.55000099182</v>
      </c>
      <c r="CC383" s="133">
        <f t="shared" si="4353"/>
        <v>-163467.99000099182</v>
      </c>
      <c r="CD383" s="133">
        <f t="shared" si="4353"/>
        <v>-179659.43000099182</v>
      </c>
      <c r="CE383" s="133">
        <f t="shared" si="4353"/>
        <v>-195850.87000099182</v>
      </c>
      <c r="CF383" s="133">
        <f t="shared" si="4353"/>
        <v>-212042.31000099183</v>
      </c>
      <c r="CG383" s="133">
        <f t="shared" si="4353"/>
        <v>-228233.75000099183</v>
      </c>
      <c r="CH383" s="133">
        <f t="shared" si="4353"/>
        <v>-244425.19000099183</v>
      </c>
      <c r="CI383" s="133">
        <f t="shared" si="4353"/>
        <v>-260616.63000099183</v>
      </c>
      <c r="CJ383" s="133">
        <f t="shared" si="4353"/>
        <v>-276808.07000099181</v>
      </c>
      <c r="CK383" s="133">
        <f t="shared" si="4353"/>
        <v>-292999.51000099181</v>
      </c>
      <c r="CL383" s="133">
        <f t="shared" si="4353"/>
        <v>-309190.95000099181</v>
      </c>
      <c r="CM383" s="133">
        <f t="shared" si="4353"/>
        <v>-325382.39000099181</v>
      </c>
      <c r="CN383" s="133">
        <f t="shared" si="4353"/>
        <v>-341573.83000099182</v>
      </c>
      <c r="CO383" s="133">
        <f t="shared" si="4353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54">IFERROR(CZ383/CY383,0)</f>
        <v>0</v>
      </c>
      <c r="DB383" s="4">
        <f t="shared" ref="DB383:DB384" si="4355">CY383*FH383</f>
        <v>0</v>
      </c>
      <c r="DC383" s="4">
        <f t="shared" ref="DC383:DC384" si="4356">CZ383*FH383</f>
        <v>0</v>
      </c>
      <c r="DD383" s="136">
        <f t="shared" ref="DD383:DD384" si="4357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58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 t="shared" si="3622"/>
        <v>0</v>
      </c>
      <c r="FS383" s="150" t="b">
        <f t="shared" si="3623"/>
        <v>0</v>
      </c>
      <c r="FT383" s="150" t="b">
        <f t="shared" si="3624"/>
        <v>0</v>
      </c>
      <c r="FU383" s="150" t="b">
        <f t="shared" si="3625"/>
        <v>0</v>
      </c>
      <c r="FV383" s="150" t="b">
        <f t="shared" si="3626"/>
        <v>1</v>
      </c>
      <c r="FW383" s="104" t="b">
        <f t="shared" si="3637"/>
        <v>0</v>
      </c>
      <c r="FX383" s="150" t="b">
        <f t="shared" ref="FX383:FX385" si="4359">EXACT(FQ383,BI383)</f>
        <v>1</v>
      </c>
      <c r="FY383" s="104" t="s">
        <v>491</v>
      </c>
      <c r="FZ383" s="104" t="b">
        <f t="shared" ref="FZ383:FZ385" si="4360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61">EXACT(GD383,C383)</f>
        <v>1</v>
      </c>
      <c r="GI383" s="151" t="b">
        <f t="shared" ref="GI383:GI385" si="4362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40"/>
        <v>меньше мин</v>
      </c>
      <c r="Q384" s="95">
        <v>28422.389999389648</v>
      </c>
      <c r="R384" s="95">
        <f t="shared" ref="R384:R385" si="4363">Q384*FH384</f>
        <v>14684427.79318466</v>
      </c>
      <c r="S384" s="131">
        <v>41929.988964080811</v>
      </c>
      <c r="T384" s="131">
        <v>21689544.69133972</v>
      </c>
      <c r="U384" s="131">
        <f t="shared" ref="U384:U385" si="4364">IFERROR(ROUNDUP(S384/$EX384,0)*$EY384,0)</f>
        <v>63</v>
      </c>
      <c r="V384" s="113">
        <f t="shared" ref="V384:V385" si="4365">SUM(Z384:AD384)</f>
        <v>23772.319965362549</v>
      </c>
      <c r="W384" s="113">
        <f t="shared" ref="W384:W385" si="4366">V384*FH384</f>
        <v>12281969.110104561</v>
      </c>
      <c r="X384" s="113">
        <f t="shared" ref="X384:X385" si="4367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41"/>
        <v>10849650</v>
      </c>
      <c r="AF384" s="95">
        <f t="shared" si="4342"/>
        <v>0</v>
      </c>
      <c r="AG384" s="114">
        <v>0</v>
      </c>
      <c r="AH384" s="95">
        <f t="shared" ref="AH384:AH385" si="4368">V384-AG384</f>
        <v>23772.319965362549</v>
      </c>
      <c r="AI384" s="114">
        <f t="shared" ref="AI384:AI385" si="4369">IF(AH384&gt;0,AH384*FH384,0)</f>
        <v>12281969.110104561</v>
      </c>
      <c r="AJ384" s="133">
        <f t="shared" ref="AJ384:AJ385" si="4370">CU384</f>
        <v>6070</v>
      </c>
      <c r="AK384" s="133">
        <f t="shared" ref="AK384:AK385" si="4371">SUM(CS384:CU384)</f>
        <v>19201</v>
      </c>
      <c r="AL384" s="133">
        <f t="shared" ref="AL384:AL385" si="4372">SUM(CP384:CU384)</f>
        <v>29955</v>
      </c>
      <c r="AM384" s="133">
        <f t="shared" ref="AM384:AM385" si="4373">SUM(BK384:BP384)</f>
        <v>31637.94</v>
      </c>
      <c r="AN384" s="133">
        <f t="shared" si="4343"/>
        <v>238.55529195436068</v>
      </c>
      <c r="AO384" s="133" t="str">
        <f t="shared" si="4344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74">AU383</f>
        <v>Нет</v>
      </c>
      <c r="AV384" s="97" t="str">
        <f t="shared" si="4345"/>
        <v>0-06</v>
      </c>
      <c r="AW384" s="117">
        <f t="shared" si="4346"/>
        <v>0</v>
      </c>
      <c r="AX384" s="14"/>
      <c r="AY384" s="25">
        <f t="shared" si="4347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48"/>
        <v>0</v>
      </c>
      <c r="BG384" s="32">
        <v>0</v>
      </c>
      <c r="BH384" s="32">
        <f t="shared" si="4349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50"/>
        <v>5272.99</v>
      </c>
      <c r="BR384" s="95">
        <f t="shared" si="4351"/>
        <v>23150.389999389648</v>
      </c>
      <c r="BS384" s="133">
        <f t="shared" si="4352"/>
        <v>18406.389999389648</v>
      </c>
      <c r="BT384" s="133">
        <f t="shared" si="4352"/>
        <v>13161.389999389648</v>
      </c>
      <c r="BU384" s="133">
        <f t="shared" si="4352"/>
        <v>7593.3899993896484</v>
      </c>
      <c r="BV384" s="133">
        <f t="shared" si="4352"/>
        <v>2157.3899993896484</v>
      </c>
      <c r="BW384" s="133">
        <f t="shared" si="4352"/>
        <v>-3215.5500006103512</v>
      </c>
      <c r="BX384" s="133">
        <f t="shared" si="4353"/>
        <v>-8488.5400006103519</v>
      </c>
      <c r="BY384" s="133">
        <f t="shared" si="4353"/>
        <v>-13761.530000610352</v>
      </c>
      <c r="BZ384" s="133">
        <f t="shared" si="4353"/>
        <v>-19034.520000610351</v>
      </c>
      <c r="CA384" s="133">
        <f t="shared" si="4353"/>
        <v>-24307.510000610353</v>
      </c>
      <c r="CB384" s="133">
        <f t="shared" si="4353"/>
        <v>-29580.500000610351</v>
      </c>
      <c r="CC384" s="133">
        <f t="shared" si="4353"/>
        <v>-34853.490000610349</v>
      </c>
      <c r="CD384" s="133">
        <f t="shared" si="4353"/>
        <v>-40126.480000610347</v>
      </c>
      <c r="CE384" s="133">
        <f t="shared" si="4353"/>
        <v>-45399.470000610345</v>
      </c>
      <c r="CF384" s="133">
        <f t="shared" si="4353"/>
        <v>-50672.460000610343</v>
      </c>
      <c r="CG384" s="133">
        <f t="shared" si="4353"/>
        <v>-55945.450000610341</v>
      </c>
      <c r="CH384" s="133">
        <f t="shared" si="4353"/>
        <v>-61218.440000610339</v>
      </c>
      <c r="CI384" s="133">
        <f t="shared" si="4353"/>
        <v>-66491.430000610344</v>
      </c>
      <c r="CJ384" s="133">
        <f t="shared" si="4353"/>
        <v>-71764.420000610349</v>
      </c>
      <c r="CK384" s="133">
        <f t="shared" si="4353"/>
        <v>-77037.410000610354</v>
      </c>
      <c r="CL384" s="133">
        <f t="shared" si="4353"/>
        <v>-82310.40000061036</v>
      </c>
      <c r="CM384" s="133">
        <f t="shared" si="4353"/>
        <v>-87583.390000610365</v>
      </c>
      <c r="CN384" s="133">
        <f t="shared" si="4353"/>
        <v>-92856.38000061037</v>
      </c>
      <c r="CO384" s="133">
        <f t="shared" si="4353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75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54"/>
        <v>0</v>
      </c>
      <c r="DB384" s="4">
        <f t="shared" si="4355"/>
        <v>0</v>
      </c>
      <c r="DC384" s="4">
        <f t="shared" si="4356"/>
        <v>0</v>
      </c>
      <c r="DD384" s="136">
        <f t="shared" si="4357"/>
        <v>0</v>
      </c>
      <c r="DE384" s="31">
        <v>0</v>
      </c>
      <c r="DF384" s="31">
        <v>45</v>
      </c>
      <c r="DG384" s="31">
        <v>2000</v>
      </c>
      <c r="DH384" s="48">
        <f t="shared" ref="DH384:DH385" si="4376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77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78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79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80">$DF384*BK384/30</f>
        <v>7908</v>
      </c>
      <c r="DY384" s="62">
        <f t="shared" ref="DY384:DY385" si="4381">DX384*$FH384</f>
        <v>4085668.1999999997</v>
      </c>
      <c r="DZ384" s="48">
        <f t="shared" ref="DZ384:DZ385" si="4382">IFERROR(ROUNDUP(DX384/$EX384,0)*$EY384,0)</f>
        <v>12</v>
      </c>
      <c r="EA384" s="62">
        <f t="shared" ref="EA384:EA385" si="4383">$DF384*BL384/30</f>
        <v>7116</v>
      </c>
      <c r="EB384" s="62">
        <f t="shared" ref="EB384:EB385" si="4384">EA384*$FH384</f>
        <v>3676481.4</v>
      </c>
      <c r="EC384" s="48">
        <f t="shared" ref="EC384:EC385" si="4385">IFERROR(ROUNDUP(EA384/$EX384,0)*$EY384,0)</f>
        <v>12</v>
      </c>
      <c r="ED384" s="62">
        <f t="shared" ref="ED384:ED385" si="4386">$DF384*BM384/30</f>
        <v>7867.5</v>
      </c>
      <c r="EE384" s="62">
        <f t="shared" ref="EE384:EE385" si="4387">ED384*$FH384</f>
        <v>4064743.875</v>
      </c>
      <c r="EF384" s="48">
        <f t="shared" ref="EF384:EF385" si="4388">IFERROR(ROUNDUP(ED384/$EX384,0)*$EY384,0)</f>
        <v>12</v>
      </c>
      <c r="EG384" s="62">
        <f t="shared" ref="EG384:EG385" si="4389">$DF384*BN384/30</f>
        <v>8352</v>
      </c>
      <c r="EH384" s="62">
        <f t="shared" ref="EH384:EH385" si="4390">EG384*$FH384</f>
        <v>4315060.8</v>
      </c>
      <c r="EI384" s="48">
        <f t="shared" ref="EI384:EI385" si="4391">IFERROR(ROUNDUP(EG384/$EX384,0)*$EY384,0)</f>
        <v>13.5</v>
      </c>
      <c r="EJ384" s="62">
        <f t="shared" ref="EJ384:EJ385" si="4392">$DF384*BO384/30</f>
        <v>8154</v>
      </c>
      <c r="EK384" s="62">
        <f t="shared" ref="EK384:EK385" si="4393">EJ384*$FH384</f>
        <v>4212764.0999999996</v>
      </c>
      <c r="EL384" s="48">
        <f t="shared" ref="EL384:EL385" si="4394">IFERROR(ROUNDUP(EJ384/$EX384,0)*$EY384,0)</f>
        <v>13.5</v>
      </c>
      <c r="EM384" s="62">
        <f t="shared" ref="EM384:EM385" si="4395">$DF384*BP384/30</f>
        <v>8059.41</v>
      </c>
      <c r="EN384" s="62">
        <f t="shared" ref="EN384:EN385" si="4396">EM384*$FH384</f>
        <v>4163894.1764999996</v>
      </c>
      <c r="EO384" s="48">
        <f t="shared" ref="EO384:EO385" si="4397">IFERROR(ROUNDUP(EM384/$EX384,0)*$EY384,0)</f>
        <v>13.5</v>
      </c>
      <c r="EP384" s="62">
        <f t="shared" ref="EP384:EU385" si="4398">BK384*$FH384</f>
        <v>2723778.8</v>
      </c>
      <c r="EQ384" s="62">
        <f t="shared" si="4398"/>
        <v>2450987.6</v>
      </c>
      <c r="ER384" s="62">
        <f t="shared" si="4398"/>
        <v>2709829.25</v>
      </c>
      <c r="ES384" s="62">
        <f t="shared" si="4398"/>
        <v>2876707.1999999997</v>
      </c>
      <c r="ET384" s="62">
        <f t="shared" si="4398"/>
        <v>2808509.4</v>
      </c>
      <c r="EU384" s="62">
        <f t="shared" si="4398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58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 t="shared" si="3622"/>
        <v>1</v>
      </c>
      <c r="FS384" s="103" t="b">
        <f t="shared" si="3623"/>
        <v>1</v>
      </c>
      <c r="FT384" s="103" t="b">
        <f t="shared" si="3624"/>
        <v>1</v>
      </c>
      <c r="FU384" s="103" t="b">
        <f t="shared" si="3625"/>
        <v>0</v>
      </c>
      <c r="FV384" s="103" t="b">
        <f t="shared" si="3626"/>
        <v>1</v>
      </c>
      <c r="FW384" s="104" t="b">
        <f t="shared" si="3637"/>
        <v>0</v>
      </c>
      <c r="FX384" s="120" t="b">
        <f t="shared" si="4359"/>
        <v>1</v>
      </c>
      <c r="FY384" s="104" t="s">
        <v>491</v>
      </c>
      <c r="FZ384" s="104" t="b">
        <f t="shared" si="4360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61"/>
        <v>1</v>
      </c>
      <c r="GI384" s="8" t="b">
        <f t="shared" si="4362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40"/>
        <v>нет минмакс</v>
      </c>
      <c r="Q385" s="95">
        <v>0</v>
      </c>
      <c r="R385" s="95">
        <f t="shared" si="4363"/>
        <v>0</v>
      </c>
      <c r="S385" s="131">
        <v>0</v>
      </c>
      <c r="T385" s="131">
        <v>0</v>
      </c>
      <c r="U385" s="131">
        <f t="shared" si="4364"/>
        <v>0</v>
      </c>
      <c r="V385" s="113">
        <f t="shared" si="4365"/>
        <v>0</v>
      </c>
      <c r="W385" s="113">
        <f t="shared" si="4366"/>
        <v>0</v>
      </c>
      <c r="X385" s="113">
        <f t="shared" si="4367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41"/>
        <v>0</v>
      </c>
      <c r="AF385" s="95">
        <f t="shared" si="4342"/>
        <v>0</v>
      </c>
      <c r="AG385" s="114">
        <v>0</v>
      </c>
      <c r="AH385" s="95">
        <f t="shared" si="4368"/>
        <v>0</v>
      </c>
      <c r="AI385" s="114">
        <f t="shared" si="4369"/>
        <v>0</v>
      </c>
      <c r="AJ385" s="133">
        <f t="shared" si="4370"/>
        <v>0</v>
      </c>
      <c r="AK385" s="133">
        <f t="shared" si="4371"/>
        <v>0</v>
      </c>
      <c r="AL385" s="133">
        <f t="shared" si="4372"/>
        <v>0</v>
      </c>
      <c r="AM385" s="133">
        <f t="shared" si="4373"/>
        <v>0</v>
      </c>
      <c r="AN385" s="133" t="str">
        <f t="shared" si="4343"/>
        <v>нет оборота</v>
      </c>
      <c r="AO385" s="133" t="str">
        <f t="shared" si="4344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45"/>
        <v>нет остатка</v>
      </c>
      <c r="AW385" s="117">
        <f t="shared" si="4346"/>
        <v>0</v>
      </c>
      <c r="AX385" s="14"/>
      <c r="AY385" s="25">
        <f t="shared" si="4347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48"/>
        <v>0</v>
      </c>
      <c r="BG385" s="32">
        <v>0</v>
      </c>
      <c r="BH385" s="32">
        <f t="shared" si="4349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50"/>
        <v>0</v>
      </c>
      <c r="BR385" s="95">
        <f t="shared" si="4351"/>
        <v>0</v>
      </c>
      <c r="BS385" s="133">
        <f t="shared" si="4352"/>
        <v>0</v>
      </c>
      <c r="BT385" s="133">
        <f t="shared" si="4352"/>
        <v>0</v>
      </c>
      <c r="BU385" s="133">
        <f t="shared" si="4352"/>
        <v>0</v>
      </c>
      <c r="BV385" s="133">
        <f t="shared" si="4352"/>
        <v>0</v>
      </c>
      <c r="BW385" s="133">
        <f t="shared" si="4352"/>
        <v>0</v>
      </c>
      <c r="BX385" s="133">
        <f t="shared" si="4353"/>
        <v>0</v>
      </c>
      <c r="BY385" s="133">
        <f t="shared" si="4353"/>
        <v>0</v>
      </c>
      <c r="BZ385" s="133">
        <f t="shared" si="4353"/>
        <v>0</v>
      </c>
      <c r="CA385" s="133">
        <f t="shared" si="4353"/>
        <v>0</v>
      </c>
      <c r="CB385" s="133">
        <f t="shared" si="4353"/>
        <v>0</v>
      </c>
      <c r="CC385" s="133">
        <f t="shared" si="4353"/>
        <v>0</v>
      </c>
      <c r="CD385" s="133">
        <f t="shared" si="4353"/>
        <v>0</v>
      </c>
      <c r="CE385" s="133">
        <f t="shared" si="4353"/>
        <v>0</v>
      </c>
      <c r="CF385" s="133">
        <f t="shared" si="4353"/>
        <v>0</v>
      </c>
      <c r="CG385" s="133">
        <f t="shared" si="4353"/>
        <v>0</v>
      </c>
      <c r="CH385" s="133">
        <f t="shared" si="4353"/>
        <v>0</v>
      </c>
      <c r="CI385" s="133">
        <f t="shared" si="4353"/>
        <v>0</v>
      </c>
      <c r="CJ385" s="133">
        <f t="shared" si="4353"/>
        <v>0</v>
      </c>
      <c r="CK385" s="133">
        <f t="shared" si="4353"/>
        <v>0</v>
      </c>
      <c r="CL385" s="133">
        <f t="shared" si="4353"/>
        <v>0</v>
      </c>
      <c r="CM385" s="133">
        <f t="shared" si="4353"/>
        <v>0</v>
      </c>
      <c r="CN385" s="133">
        <f t="shared" si="4353"/>
        <v>0</v>
      </c>
      <c r="CO385" s="133">
        <f t="shared" si="4353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75"/>
        <v>0</v>
      </c>
      <c r="CY385" s="4">
        <v>0</v>
      </c>
      <c r="CZ385" s="4">
        <v>0</v>
      </c>
      <c r="DA385" s="136">
        <f t="shared" ref="DA385:DA389" si="4399">IFERROR(CZ385/CY385,0)</f>
        <v>0</v>
      </c>
      <c r="DB385" s="4">
        <f t="shared" ref="DB385:DB389" si="4400">CY385*FH385</f>
        <v>0</v>
      </c>
      <c r="DC385" s="4">
        <f t="shared" ref="DC385:DC389" si="4401">CZ385*FH385</f>
        <v>0</v>
      </c>
      <c r="DD385" s="136">
        <f t="shared" ref="DD385:DD389" si="4402">IFERROR(DC385/DB385,0)</f>
        <v>0</v>
      </c>
      <c r="DE385" s="31">
        <v>0</v>
      </c>
      <c r="DF385" s="31">
        <v>45</v>
      </c>
      <c r="DG385" s="31">
        <v>0</v>
      </c>
      <c r="DH385" s="48">
        <f t="shared" si="4376"/>
        <v>0</v>
      </c>
      <c r="DI385" s="62">
        <v>0</v>
      </c>
      <c r="DJ385" s="62">
        <v>0</v>
      </c>
      <c r="DK385" s="48">
        <f t="shared" si="4377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78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79"/>
        <v>0</v>
      </c>
      <c r="DV385" s="62">
        <v>0</v>
      </c>
      <c r="DW385" s="62">
        <v>0</v>
      </c>
      <c r="DX385" s="62">
        <f t="shared" si="4380"/>
        <v>0</v>
      </c>
      <c r="DY385" s="62">
        <f t="shared" si="4381"/>
        <v>0</v>
      </c>
      <c r="DZ385" s="48">
        <f t="shared" si="4382"/>
        <v>0</v>
      </c>
      <c r="EA385" s="62">
        <f t="shared" si="4383"/>
        <v>0</v>
      </c>
      <c r="EB385" s="62">
        <f t="shared" si="4384"/>
        <v>0</v>
      </c>
      <c r="EC385" s="48">
        <f t="shared" si="4385"/>
        <v>0</v>
      </c>
      <c r="ED385" s="62">
        <f t="shared" si="4386"/>
        <v>0</v>
      </c>
      <c r="EE385" s="62">
        <f t="shared" si="4387"/>
        <v>0</v>
      </c>
      <c r="EF385" s="48">
        <f t="shared" si="4388"/>
        <v>0</v>
      </c>
      <c r="EG385" s="62">
        <f t="shared" si="4389"/>
        <v>0</v>
      </c>
      <c r="EH385" s="62">
        <f t="shared" si="4390"/>
        <v>0</v>
      </c>
      <c r="EI385" s="48">
        <f t="shared" si="4391"/>
        <v>0</v>
      </c>
      <c r="EJ385" s="62">
        <f t="shared" si="4392"/>
        <v>0</v>
      </c>
      <c r="EK385" s="62">
        <f t="shared" si="4393"/>
        <v>0</v>
      </c>
      <c r="EL385" s="48">
        <f t="shared" si="4394"/>
        <v>0</v>
      </c>
      <c r="EM385" s="62">
        <f t="shared" si="4395"/>
        <v>0</v>
      </c>
      <c r="EN385" s="62">
        <f t="shared" si="4396"/>
        <v>0</v>
      </c>
      <c r="EO385" s="48">
        <f t="shared" si="4397"/>
        <v>0</v>
      </c>
      <c r="EP385" s="62">
        <f t="shared" si="4398"/>
        <v>0</v>
      </c>
      <c r="EQ385" s="62">
        <f t="shared" si="4398"/>
        <v>0</v>
      </c>
      <c r="ER385" s="62">
        <f t="shared" si="4398"/>
        <v>0</v>
      </c>
      <c r="ES385" s="62">
        <f t="shared" si="4398"/>
        <v>0</v>
      </c>
      <c r="ET385" s="62">
        <f t="shared" si="4398"/>
        <v>0</v>
      </c>
      <c r="EU385" s="62">
        <f t="shared" si="4398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58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 t="shared" si="3622"/>
        <v>1</v>
      </c>
      <c r="FS385" s="103" t="b">
        <f t="shared" si="3623"/>
        <v>1</v>
      </c>
      <c r="FT385" s="103" t="b">
        <f t="shared" si="3624"/>
        <v>1</v>
      </c>
      <c r="FU385" s="103" t="b">
        <f t="shared" si="3625"/>
        <v>1</v>
      </c>
      <c r="FV385" s="103" t="b">
        <f t="shared" si="3626"/>
        <v>1</v>
      </c>
      <c r="FW385" s="104" t="b">
        <f t="shared" si="3637"/>
        <v>0</v>
      </c>
      <c r="FX385" s="120" t="b">
        <f t="shared" si="4359"/>
        <v>1</v>
      </c>
      <c r="FY385" s="104" t="s">
        <v>491</v>
      </c>
      <c r="FZ385" s="104" t="b">
        <f t="shared" si="4360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61"/>
        <v>1</v>
      </c>
      <c r="GI385" s="8" t="b">
        <f t="shared" si="4362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403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404">AA386*FH386</f>
        <v>0</v>
      </c>
      <c r="AF386" s="95">
        <f t="shared" ref="AF386:AF389" si="4405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406">IFERROR(S386/BQ386*30,"нет оборота")</f>
        <v>75.859701196359325</v>
      </c>
      <c r="AO386" s="130" t="str">
        <f t="shared" ref="AO386:AO389" si="4407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408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409">IF(AT386="Да",W386,0)</f>
        <v>0</v>
      </c>
      <c r="AX386" s="144"/>
      <c r="AY386" s="146">
        <f t="shared" ref="AY386:AY389" si="4410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411">BE386*FH386</f>
        <v>0</v>
      </c>
      <c r="BG386" s="32">
        <v>0</v>
      </c>
      <c r="BH386" s="32">
        <f t="shared" ref="BH386:BH389" si="4412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413">IF(COUNTIF(BK386:BP386,"&gt;0")=0,0,SUM(BK386:BP386)/COUNTIF(BK386:BP386,"&gt;0"))</f>
        <v>16277.021666666667</v>
      </c>
      <c r="BR386" s="95">
        <f t="shared" ref="BR386:BR389" si="4414">IF(OR(Q386=0,SUM(BK386:BP386)=0,V386&gt;Q386),V386-BK386,Q386-BK386)</f>
        <v>4873.6220703125</v>
      </c>
      <c r="BS386" s="133">
        <f t="shared" si="4352"/>
        <v>-10247.3779296875</v>
      </c>
      <c r="BT386" s="133">
        <f t="shared" si="4352"/>
        <v>-25744.3779296875</v>
      </c>
      <c r="BU386" s="133">
        <f t="shared" si="4352"/>
        <v>-41606.3779296875</v>
      </c>
      <c r="BV386" s="133">
        <f t="shared" si="4352"/>
        <v>-56543.3779296875</v>
      </c>
      <c r="BW386" s="133">
        <f t="shared" si="4352"/>
        <v>-72489.507929687505</v>
      </c>
      <c r="BX386" s="133">
        <f t="shared" ref="BX386:CO387" si="4415">BW386-$BQ386</f>
        <v>-88766.529596354172</v>
      </c>
      <c r="BY386" s="133">
        <f t="shared" si="4415"/>
        <v>-105043.55126302084</v>
      </c>
      <c r="BZ386" s="133">
        <f t="shared" si="4415"/>
        <v>-121320.57292968751</v>
      </c>
      <c r="CA386" s="133">
        <f t="shared" si="4415"/>
        <v>-137597.59459635417</v>
      </c>
      <c r="CB386" s="133">
        <f t="shared" si="4415"/>
        <v>-153874.61626302084</v>
      </c>
      <c r="CC386" s="133">
        <f t="shared" si="4415"/>
        <v>-170151.63792968751</v>
      </c>
      <c r="CD386" s="133">
        <f t="shared" si="4415"/>
        <v>-186428.65959635418</v>
      </c>
      <c r="CE386" s="133">
        <f t="shared" si="4415"/>
        <v>-202705.68126302084</v>
      </c>
      <c r="CF386" s="133">
        <f t="shared" si="4415"/>
        <v>-218982.70292968751</v>
      </c>
      <c r="CG386" s="133">
        <f t="shared" si="4415"/>
        <v>-235259.72459635418</v>
      </c>
      <c r="CH386" s="133">
        <f t="shared" si="4415"/>
        <v>-251536.74626302085</v>
      </c>
      <c r="CI386" s="133">
        <f t="shared" si="4415"/>
        <v>-267813.76792968751</v>
      </c>
      <c r="CJ386" s="133">
        <f t="shared" si="4415"/>
        <v>-284090.78959635418</v>
      </c>
      <c r="CK386" s="133">
        <f t="shared" si="4415"/>
        <v>-300367.81126302085</v>
      </c>
      <c r="CL386" s="133">
        <f t="shared" si="4415"/>
        <v>-316644.83292968752</v>
      </c>
      <c r="CM386" s="133">
        <f t="shared" si="4415"/>
        <v>-332921.85459635418</v>
      </c>
      <c r="CN386" s="133">
        <f t="shared" si="4415"/>
        <v>-349198.87626302085</v>
      </c>
      <c r="CO386" s="133">
        <f t="shared" si="4415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99"/>
        <v>0</v>
      </c>
      <c r="DB386" s="4">
        <f t="shared" si="4400"/>
        <v>0</v>
      </c>
      <c r="DC386" s="4">
        <f t="shared" si="4401"/>
        <v>0</v>
      </c>
      <c r="DD386" s="136">
        <f t="shared" si="4402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416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 t="shared" si="3622"/>
        <v>0</v>
      </c>
      <c r="FS386" s="150" t="b">
        <f t="shared" si="3623"/>
        <v>0</v>
      </c>
      <c r="FT386" s="150" t="b">
        <f t="shared" si="3624"/>
        <v>0</v>
      </c>
      <c r="FU386" s="150" t="b">
        <f t="shared" si="3625"/>
        <v>0</v>
      </c>
      <c r="FV386" s="150" t="b">
        <f t="shared" si="3626"/>
        <v>1</v>
      </c>
      <c r="FW386" s="104" t="b">
        <f t="shared" si="3637"/>
        <v>0</v>
      </c>
      <c r="FX386" s="150" t="b">
        <f t="shared" ref="FX386:FX389" si="4417">EXACT(FQ386,BI386)</f>
        <v>1</v>
      </c>
      <c r="FY386" s="104" t="s">
        <v>491</v>
      </c>
      <c r="FZ386" s="104" t="b">
        <f t="shared" ref="FZ386:FZ389" si="4418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419">EXACT(GD386,C386)</f>
        <v>1</v>
      </c>
      <c r="GI386" s="151" t="b">
        <f t="shared" ref="GI386:GI389" si="4420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403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404"/>
        <v>0</v>
      </c>
      <c r="AF387" s="95">
        <f t="shared" si="4405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406"/>
        <v>75.859701196359325</v>
      </c>
      <c r="AO387" s="133" t="str">
        <f t="shared" si="4407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408"/>
        <v>0-02</v>
      </c>
      <c r="AW387" s="117">
        <f t="shared" si="4409"/>
        <v>0</v>
      </c>
      <c r="AX387" s="14"/>
      <c r="AY387" s="25">
        <f t="shared" si="4410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411"/>
        <v>0</v>
      </c>
      <c r="BG387" s="32">
        <v>0</v>
      </c>
      <c r="BH387" s="32">
        <f t="shared" si="4412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413"/>
        <v>16277.021666666667</v>
      </c>
      <c r="BR387" s="95">
        <f t="shared" si="4414"/>
        <v>4873.6220703125</v>
      </c>
      <c r="BS387" s="133">
        <f t="shared" si="4352"/>
        <v>-10247.3779296875</v>
      </c>
      <c r="BT387" s="133">
        <f t="shared" si="4352"/>
        <v>-25744.3779296875</v>
      </c>
      <c r="BU387" s="133">
        <f t="shared" si="4352"/>
        <v>-41606.3779296875</v>
      </c>
      <c r="BV387" s="133">
        <f t="shared" si="4352"/>
        <v>-56543.3779296875</v>
      </c>
      <c r="BW387" s="133">
        <f t="shared" si="4352"/>
        <v>-72489.507929687505</v>
      </c>
      <c r="BX387" s="133">
        <f t="shared" si="4415"/>
        <v>-88766.529596354172</v>
      </c>
      <c r="BY387" s="133">
        <f t="shared" si="4415"/>
        <v>-105043.55126302084</v>
      </c>
      <c r="BZ387" s="133">
        <f t="shared" si="4415"/>
        <v>-121320.57292968751</v>
      </c>
      <c r="CA387" s="133">
        <f t="shared" si="4415"/>
        <v>-137597.59459635417</v>
      </c>
      <c r="CB387" s="133">
        <f t="shared" si="4415"/>
        <v>-153874.61626302084</v>
      </c>
      <c r="CC387" s="133">
        <f t="shared" si="4415"/>
        <v>-170151.63792968751</v>
      </c>
      <c r="CD387" s="133">
        <f t="shared" si="4415"/>
        <v>-186428.65959635418</v>
      </c>
      <c r="CE387" s="133">
        <f t="shared" si="4415"/>
        <v>-202705.68126302084</v>
      </c>
      <c r="CF387" s="133">
        <f t="shared" si="4415"/>
        <v>-218982.70292968751</v>
      </c>
      <c r="CG387" s="133">
        <f t="shared" si="4415"/>
        <v>-235259.72459635418</v>
      </c>
      <c r="CH387" s="133">
        <f t="shared" si="4415"/>
        <v>-251536.74626302085</v>
      </c>
      <c r="CI387" s="133">
        <f t="shared" si="4415"/>
        <v>-267813.76792968751</v>
      </c>
      <c r="CJ387" s="133">
        <f t="shared" si="4415"/>
        <v>-284090.78959635418</v>
      </c>
      <c r="CK387" s="133">
        <f t="shared" si="4415"/>
        <v>-300367.81126302085</v>
      </c>
      <c r="CL387" s="133">
        <f t="shared" si="4415"/>
        <v>-316644.83292968752</v>
      </c>
      <c r="CM387" s="133">
        <f t="shared" si="4415"/>
        <v>-332921.85459635418</v>
      </c>
      <c r="CN387" s="133">
        <f t="shared" si="4415"/>
        <v>-349198.87626302085</v>
      </c>
      <c r="CO387" s="133">
        <f t="shared" si="4415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99"/>
        <v>0</v>
      </c>
      <c r="DB387" s="4">
        <f t="shared" si="4400"/>
        <v>0</v>
      </c>
      <c r="DC387" s="4">
        <f t="shared" si="4401"/>
        <v>0</v>
      </c>
      <c r="DD387" s="136">
        <f t="shared" si="4402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421">BK387*$FH387</f>
        <v>10766183.619999999</v>
      </c>
      <c r="EQ387" s="62">
        <f t="shared" si="4421"/>
        <v>8019875.9799999995</v>
      </c>
      <c r="ER387" s="62">
        <f t="shared" si="4421"/>
        <v>8219298.8600000003</v>
      </c>
      <c r="ES387" s="62">
        <f t="shared" si="4421"/>
        <v>8412887.5600000005</v>
      </c>
      <c r="ET387" s="62">
        <f t="shared" si="4421"/>
        <v>7922286.0599999996</v>
      </c>
      <c r="EU387" s="62">
        <f t="shared" si="4421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416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 t="shared" si="3622"/>
        <v>1</v>
      </c>
      <c r="FS387" s="103" t="b">
        <f t="shared" si="3623"/>
        <v>1</v>
      </c>
      <c r="FT387" s="103" t="b">
        <f t="shared" si="3624"/>
        <v>1</v>
      </c>
      <c r="FU387" s="103" t="b">
        <f t="shared" si="3625"/>
        <v>0</v>
      </c>
      <c r="FV387" s="103" t="b">
        <f t="shared" si="3626"/>
        <v>1</v>
      </c>
      <c r="FW387" s="104" t="b">
        <f t="shared" si="3637"/>
        <v>0</v>
      </c>
      <c r="FX387" s="120" t="b">
        <f t="shared" si="4417"/>
        <v>1</v>
      </c>
      <c r="FY387" s="104" t="s">
        <v>491</v>
      </c>
      <c r="FZ387" s="104" t="b">
        <f t="shared" si="4418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419"/>
        <v>1</v>
      </c>
      <c r="GI387" s="8" t="b">
        <f t="shared" si="4420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403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404"/>
        <v>0</v>
      </c>
      <c r="AF388" s="95">
        <f t="shared" si="4405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406"/>
        <v>414.04809513889029</v>
      </c>
      <c r="AO388" s="130" t="str">
        <f t="shared" si="4407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408"/>
        <v>0-13</v>
      </c>
      <c r="AW388" s="149">
        <f t="shared" si="4409"/>
        <v>17957995.58491211</v>
      </c>
      <c r="AX388" s="144"/>
      <c r="AY388" s="146">
        <f t="shared" si="4410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411"/>
        <v>0</v>
      </c>
      <c r="BG388" s="32">
        <v>0</v>
      </c>
      <c r="BH388" s="32">
        <f t="shared" si="4412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413"/>
        <v>2568.0349999999999</v>
      </c>
      <c r="BR388" s="95">
        <f t="shared" si="4414"/>
        <v>29389.5</v>
      </c>
      <c r="BS388" s="133">
        <f t="shared" si="4352"/>
        <v>26760.5</v>
      </c>
      <c r="BT388" s="133">
        <f t="shared" si="4352"/>
        <v>23686.5</v>
      </c>
      <c r="BU388" s="133">
        <f t="shared" si="4352"/>
        <v>20902.5</v>
      </c>
      <c r="BV388" s="133">
        <f t="shared" si="4352"/>
        <v>18222.5</v>
      </c>
      <c r="BW388" s="133">
        <f t="shared" si="4352"/>
        <v>16025.29</v>
      </c>
      <c r="BX388" s="133">
        <f t="shared" ref="BX388:CO389" si="4422">BW388-$BQ388</f>
        <v>13457.255000000001</v>
      </c>
      <c r="BY388" s="133">
        <f t="shared" si="4422"/>
        <v>10889.220000000001</v>
      </c>
      <c r="BZ388" s="133">
        <f t="shared" si="4422"/>
        <v>8321.1850000000013</v>
      </c>
      <c r="CA388" s="133">
        <f t="shared" si="4422"/>
        <v>5753.1500000000015</v>
      </c>
      <c r="CB388" s="133">
        <f t="shared" si="4422"/>
        <v>3185.1150000000016</v>
      </c>
      <c r="CC388" s="133">
        <f t="shared" si="4422"/>
        <v>617.08000000000175</v>
      </c>
      <c r="CD388" s="133">
        <f t="shared" si="4422"/>
        <v>-1950.9549999999981</v>
      </c>
      <c r="CE388" s="133">
        <f t="shared" si="4422"/>
        <v>-4518.989999999998</v>
      </c>
      <c r="CF388" s="133">
        <f t="shared" si="4422"/>
        <v>-7087.0249999999978</v>
      </c>
      <c r="CG388" s="133">
        <f t="shared" si="4422"/>
        <v>-9655.0599999999977</v>
      </c>
      <c r="CH388" s="133">
        <f t="shared" si="4422"/>
        <v>-12223.094999999998</v>
      </c>
      <c r="CI388" s="133">
        <f t="shared" si="4422"/>
        <v>-14791.129999999997</v>
      </c>
      <c r="CJ388" s="133">
        <f t="shared" si="4422"/>
        <v>-17359.164999999997</v>
      </c>
      <c r="CK388" s="133">
        <f t="shared" si="4422"/>
        <v>-19927.199999999997</v>
      </c>
      <c r="CL388" s="133">
        <f t="shared" si="4422"/>
        <v>-22495.234999999997</v>
      </c>
      <c r="CM388" s="133">
        <f t="shared" si="4422"/>
        <v>-25063.269999999997</v>
      </c>
      <c r="CN388" s="133">
        <f t="shared" si="4422"/>
        <v>-27631.304999999997</v>
      </c>
      <c r="CO388" s="133">
        <f t="shared" si="4422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99"/>
        <v>0</v>
      </c>
      <c r="DB388" s="4">
        <f t="shared" si="4400"/>
        <v>0</v>
      </c>
      <c r="DC388" s="4">
        <f t="shared" si="4401"/>
        <v>0</v>
      </c>
      <c r="DD388" s="136">
        <f t="shared" si="4402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416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 t="shared" si="3622"/>
        <v>0</v>
      </c>
      <c r="FS388" s="150" t="b">
        <f t="shared" si="3623"/>
        <v>0</v>
      </c>
      <c r="FT388" s="150" t="b">
        <f t="shared" si="3624"/>
        <v>0</v>
      </c>
      <c r="FU388" s="150" t="b">
        <f t="shared" si="3625"/>
        <v>0</v>
      </c>
      <c r="FV388" s="150" t="b">
        <f t="shared" si="3626"/>
        <v>1</v>
      </c>
      <c r="FW388" s="104" t="b">
        <f t="shared" si="3637"/>
        <v>0</v>
      </c>
      <c r="FX388" s="150" t="b">
        <f t="shared" si="4417"/>
        <v>1</v>
      </c>
      <c r="FY388" s="104" t="s">
        <v>491</v>
      </c>
      <c r="FZ388" s="104" t="b">
        <f t="shared" si="4418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419"/>
        <v>1</v>
      </c>
      <c r="GI388" s="151" t="b">
        <f t="shared" si="4420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403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404"/>
        <v>0</v>
      </c>
      <c r="AF389" s="95">
        <f t="shared" si="4405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406"/>
        <v>414.04809513889029</v>
      </c>
      <c r="AO389" s="133" t="str">
        <f t="shared" si="4407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408"/>
        <v>0-13</v>
      </c>
      <c r="AW389" s="117">
        <f t="shared" si="4409"/>
        <v>17957995.58491211</v>
      </c>
      <c r="AX389" s="14">
        <f>MONTH(BC389)-6</f>
        <v>6</v>
      </c>
      <c r="AY389" s="25">
        <f t="shared" si="4410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411"/>
        <v>0</v>
      </c>
      <c r="BG389" s="32">
        <v>0</v>
      </c>
      <c r="BH389" s="32">
        <f t="shared" si="4412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413"/>
        <v>2568.0349999999999</v>
      </c>
      <c r="BR389" s="95">
        <f t="shared" si="4414"/>
        <v>29389.5</v>
      </c>
      <c r="BS389" s="133">
        <f t="shared" si="4352"/>
        <v>26760.5</v>
      </c>
      <c r="BT389" s="133">
        <f t="shared" si="4352"/>
        <v>23686.5</v>
      </c>
      <c r="BU389" s="133">
        <f t="shared" si="4352"/>
        <v>20902.5</v>
      </c>
      <c r="BV389" s="133">
        <f t="shared" si="4352"/>
        <v>18222.5</v>
      </c>
      <c r="BW389" s="133">
        <f t="shared" si="4352"/>
        <v>16025.29</v>
      </c>
      <c r="BX389" s="133">
        <f t="shared" si="4422"/>
        <v>13457.255000000001</v>
      </c>
      <c r="BY389" s="133">
        <f t="shared" si="4422"/>
        <v>10889.220000000001</v>
      </c>
      <c r="BZ389" s="133">
        <f t="shared" si="4422"/>
        <v>8321.1850000000013</v>
      </c>
      <c r="CA389" s="133">
        <f t="shared" si="4422"/>
        <v>5753.1500000000015</v>
      </c>
      <c r="CB389" s="133">
        <f t="shared" si="4422"/>
        <v>3185.1150000000016</v>
      </c>
      <c r="CC389" s="133">
        <f t="shared" si="4422"/>
        <v>617.08000000000175</v>
      </c>
      <c r="CD389" s="133">
        <f t="shared" si="4422"/>
        <v>-1950.9549999999981</v>
      </c>
      <c r="CE389" s="133">
        <f t="shared" si="4422"/>
        <v>-4518.989999999998</v>
      </c>
      <c r="CF389" s="133">
        <f t="shared" si="4422"/>
        <v>-7087.0249999999978</v>
      </c>
      <c r="CG389" s="133">
        <f t="shared" si="4422"/>
        <v>-9655.0599999999977</v>
      </c>
      <c r="CH389" s="133">
        <f t="shared" si="4422"/>
        <v>-12223.094999999998</v>
      </c>
      <c r="CI389" s="133">
        <f t="shared" si="4422"/>
        <v>-14791.129999999997</v>
      </c>
      <c r="CJ389" s="133">
        <f t="shared" si="4422"/>
        <v>-17359.164999999997</v>
      </c>
      <c r="CK389" s="133">
        <f t="shared" si="4422"/>
        <v>-19927.199999999997</v>
      </c>
      <c r="CL389" s="133">
        <f t="shared" si="4422"/>
        <v>-22495.234999999997</v>
      </c>
      <c r="CM389" s="133">
        <f t="shared" si="4422"/>
        <v>-25063.269999999997</v>
      </c>
      <c r="CN389" s="133">
        <f t="shared" si="4422"/>
        <v>-27631.304999999997</v>
      </c>
      <c r="CO389" s="133">
        <f t="shared" si="4422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99"/>
        <v>0</v>
      </c>
      <c r="DB389" s="4">
        <f t="shared" si="4400"/>
        <v>0</v>
      </c>
      <c r="DC389" s="4">
        <f t="shared" si="4401"/>
        <v>0</v>
      </c>
      <c r="DD389" s="136">
        <f t="shared" si="4402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423">BK389*$FH389</f>
        <v>1221821.4399999999</v>
      </c>
      <c r="EQ389" s="62">
        <f t="shared" si="4423"/>
        <v>1571511.04</v>
      </c>
      <c r="ER389" s="62">
        <f t="shared" si="4423"/>
        <v>1837514.24</v>
      </c>
      <c r="ES389" s="62">
        <f t="shared" si="4423"/>
        <v>1664163.8400000001</v>
      </c>
      <c r="ET389" s="62">
        <f t="shared" si="4423"/>
        <v>1601996.8</v>
      </c>
      <c r="EU389" s="62">
        <f t="shared" si="4423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416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 t="shared" si="3622"/>
        <v>1</v>
      </c>
      <c r="FS389" s="103" t="b">
        <f t="shared" si="3623"/>
        <v>1</v>
      </c>
      <c r="FT389" s="103" t="b">
        <f t="shared" si="3624"/>
        <v>1</v>
      </c>
      <c r="FU389" s="103" t="b">
        <f t="shared" si="3625"/>
        <v>0</v>
      </c>
      <c r="FV389" s="103" t="b">
        <f t="shared" si="3626"/>
        <v>1</v>
      </c>
      <c r="FW389" s="104" t="b">
        <f t="shared" si="3637"/>
        <v>0</v>
      </c>
      <c r="FX389" s="120" t="b">
        <f t="shared" si="4417"/>
        <v>1</v>
      </c>
      <c r="FY389" s="104" t="s">
        <v>491</v>
      </c>
      <c r="FZ389" s="104" t="b">
        <f t="shared" si="4418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419"/>
        <v>1</v>
      </c>
      <c r="GI389" s="8" t="b">
        <f t="shared" si="4420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424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425">AA390*FH390</f>
        <v>0</v>
      </c>
      <c r="AF390" s="95">
        <f t="shared" ref="AF390:AF391" si="4426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427">IFERROR(S390/BQ390*30,"нет оборота")</f>
        <v>нет оборота</v>
      </c>
      <c r="AO390" s="130" t="str">
        <f t="shared" ref="AO390:AO391" si="4428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429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430">IF(AT390="Да",W390,0)</f>
        <v>8747106.8393994141</v>
      </c>
      <c r="AX390" s="144"/>
      <c r="AY390" s="146">
        <f t="shared" ref="AY390:AY391" si="4431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432">BE390*FH390</f>
        <v>0</v>
      </c>
      <c r="BG390" s="32">
        <v>0</v>
      </c>
      <c r="BH390" s="32">
        <f t="shared" ref="BH390:BH391" si="4433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434">IF(COUNTIF(BK390:BP390,"&gt;0")=0,0,SUM(BK390:BP390)/COUNTIF(BK390:BP390,"&gt;0"))</f>
        <v>0</v>
      </c>
      <c r="BR390" s="95">
        <f t="shared" ref="BR390:BR391" si="4435">IF(OR(Q390=0,SUM(BK390:BP390)=0,V390&gt;Q390),V390-BK390,Q390-BK390)</f>
        <v>4563.2000122070313</v>
      </c>
      <c r="BS390" s="133">
        <f t="shared" ref="BS390:BW391" si="4436">BR390-BL390</f>
        <v>4563.2000122070313</v>
      </c>
      <c r="BT390" s="133">
        <f t="shared" si="4436"/>
        <v>4563.2000122070313</v>
      </c>
      <c r="BU390" s="133">
        <f t="shared" si="4436"/>
        <v>4563.2000122070313</v>
      </c>
      <c r="BV390" s="133">
        <f t="shared" si="4436"/>
        <v>4563.2000122070313</v>
      </c>
      <c r="BW390" s="133">
        <f t="shared" si="4436"/>
        <v>4563.2000122070313</v>
      </c>
      <c r="BX390" s="133">
        <f t="shared" ref="BX390:CO391" si="4437">BW390-$BQ390</f>
        <v>4563.2000122070313</v>
      </c>
      <c r="BY390" s="133">
        <f t="shared" si="4437"/>
        <v>4563.2000122070313</v>
      </c>
      <c r="BZ390" s="133">
        <f t="shared" si="4437"/>
        <v>4563.2000122070313</v>
      </c>
      <c r="CA390" s="133">
        <f t="shared" si="4437"/>
        <v>4563.2000122070313</v>
      </c>
      <c r="CB390" s="133">
        <f t="shared" si="4437"/>
        <v>4563.2000122070313</v>
      </c>
      <c r="CC390" s="133">
        <f t="shared" si="4437"/>
        <v>4563.2000122070313</v>
      </c>
      <c r="CD390" s="133">
        <f t="shared" si="4437"/>
        <v>4563.2000122070313</v>
      </c>
      <c r="CE390" s="133">
        <f t="shared" si="4437"/>
        <v>4563.2000122070313</v>
      </c>
      <c r="CF390" s="133">
        <f t="shared" si="4437"/>
        <v>4563.2000122070313</v>
      </c>
      <c r="CG390" s="133">
        <f t="shared" si="4437"/>
        <v>4563.2000122070313</v>
      </c>
      <c r="CH390" s="133">
        <f t="shared" si="4437"/>
        <v>4563.2000122070313</v>
      </c>
      <c r="CI390" s="133">
        <f t="shared" si="4437"/>
        <v>4563.2000122070313</v>
      </c>
      <c r="CJ390" s="133">
        <f t="shared" si="4437"/>
        <v>4563.2000122070313</v>
      </c>
      <c r="CK390" s="133">
        <f t="shared" si="4437"/>
        <v>4563.2000122070313</v>
      </c>
      <c r="CL390" s="133">
        <f t="shared" si="4437"/>
        <v>4563.2000122070313</v>
      </c>
      <c r="CM390" s="133">
        <f t="shared" si="4437"/>
        <v>4563.2000122070313</v>
      </c>
      <c r="CN390" s="133">
        <f t="shared" si="4437"/>
        <v>4563.2000122070313</v>
      </c>
      <c r="CO390" s="133">
        <f t="shared" si="4437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38">IFERROR(CZ390/CY390,0)</f>
        <v>0</v>
      </c>
      <c r="DB390" s="4">
        <f t="shared" ref="DB390:DB391" si="4439">CY390*FH390</f>
        <v>0</v>
      </c>
      <c r="DC390" s="4">
        <f t="shared" ref="DC390:DC391" si="4440">CZ390*FH390</f>
        <v>0</v>
      </c>
      <c r="DD390" s="136">
        <f t="shared" ref="DD390:DD391" si="4441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42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 t="shared" si="3622"/>
        <v>0</v>
      </c>
      <c r="FS390" s="150" t="b">
        <f t="shared" si="3623"/>
        <v>0</v>
      </c>
      <c r="FT390" s="150" t="b">
        <f t="shared" si="3624"/>
        <v>0</v>
      </c>
      <c r="FU390" s="150" t="b">
        <f t="shared" si="3625"/>
        <v>0</v>
      </c>
      <c r="FV390" s="150" t="b">
        <f t="shared" si="3626"/>
        <v>1</v>
      </c>
      <c r="FW390" s="104" t="b">
        <f t="shared" si="3637"/>
        <v>0</v>
      </c>
      <c r="FX390" s="150" t="b">
        <f t="shared" ref="FX390:FX391" si="4443">EXACT(FQ390,BI390)</f>
        <v>1</v>
      </c>
      <c r="FY390" s="104" t="s">
        <v>491</v>
      </c>
      <c r="FZ390" s="104" t="b">
        <f t="shared" ref="FZ390:FZ391" si="4444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45">EXACT(GD390,C390)</f>
        <v>1</v>
      </c>
      <c r="GI390" s="151" t="b">
        <f t="shared" ref="GI390:GI391" si="4446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424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425"/>
        <v>7667520</v>
      </c>
      <c r="AF391" s="95">
        <f t="shared" si="4426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427"/>
        <v>нет оборота</v>
      </c>
      <c r="AO391" s="133" t="str">
        <f t="shared" si="4428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429"/>
        <v>Нет планов</v>
      </c>
      <c r="AW391" s="117">
        <f t="shared" si="4430"/>
        <v>8747106.8393994141</v>
      </c>
      <c r="AX391" s="14">
        <f>MONTH(BC391)-6</f>
        <v>6</v>
      </c>
      <c r="AY391" s="25">
        <f t="shared" si="4431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432"/>
        <v>0</v>
      </c>
      <c r="BG391" s="32">
        <v>0</v>
      </c>
      <c r="BH391" s="32">
        <f t="shared" si="4433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434"/>
        <v>0</v>
      </c>
      <c r="BR391" s="95">
        <f t="shared" si="4435"/>
        <v>4563.2000122070313</v>
      </c>
      <c r="BS391" s="133">
        <f t="shared" si="4436"/>
        <v>4563.2000122070313</v>
      </c>
      <c r="BT391" s="133">
        <f t="shared" si="4436"/>
        <v>4563.2000122070313</v>
      </c>
      <c r="BU391" s="133">
        <f t="shared" si="4436"/>
        <v>4563.2000122070313</v>
      </c>
      <c r="BV391" s="133">
        <f t="shared" si="4436"/>
        <v>4563.2000122070313</v>
      </c>
      <c r="BW391" s="133">
        <f t="shared" si="4436"/>
        <v>4563.2000122070313</v>
      </c>
      <c r="BX391" s="133">
        <f t="shared" si="4437"/>
        <v>4563.2000122070313</v>
      </c>
      <c r="BY391" s="133">
        <f t="shared" si="4437"/>
        <v>4563.2000122070313</v>
      </c>
      <c r="BZ391" s="133">
        <f t="shared" si="4437"/>
        <v>4563.2000122070313</v>
      </c>
      <c r="CA391" s="133">
        <f t="shared" si="4437"/>
        <v>4563.2000122070313</v>
      </c>
      <c r="CB391" s="133">
        <f t="shared" si="4437"/>
        <v>4563.2000122070313</v>
      </c>
      <c r="CC391" s="133">
        <f t="shared" si="4437"/>
        <v>4563.2000122070313</v>
      </c>
      <c r="CD391" s="133">
        <f t="shared" si="4437"/>
        <v>4563.2000122070313</v>
      </c>
      <c r="CE391" s="133">
        <f t="shared" si="4437"/>
        <v>4563.2000122070313</v>
      </c>
      <c r="CF391" s="133">
        <f t="shared" si="4437"/>
        <v>4563.2000122070313</v>
      </c>
      <c r="CG391" s="133">
        <f t="shared" si="4437"/>
        <v>4563.2000122070313</v>
      </c>
      <c r="CH391" s="133">
        <f t="shared" si="4437"/>
        <v>4563.2000122070313</v>
      </c>
      <c r="CI391" s="133">
        <f t="shared" si="4437"/>
        <v>4563.2000122070313</v>
      </c>
      <c r="CJ391" s="133">
        <f t="shared" si="4437"/>
        <v>4563.2000122070313</v>
      </c>
      <c r="CK391" s="133">
        <f t="shared" si="4437"/>
        <v>4563.2000122070313</v>
      </c>
      <c r="CL391" s="133">
        <f t="shared" si="4437"/>
        <v>4563.2000122070313</v>
      </c>
      <c r="CM391" s="133">
        <f t="shared" si="4437"/>
        <v>4563.2000122070313</v>
      </c>
      <c r="CN391" s="133">
        <f t="shared" si="4437"/>
        <v>4563.2000122070313</v>
      </c>
      <c r="CO391" s="133">
        <f t="shared" si="4437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38"/>
        <v>0</v>
      </c>
      <c r="DB391" s="4">
        <f t="shared" si="4439"/>
        <v>0</v>
      </c>
      <c r="DC391" s="4">
        <f t="shared" si="4440"/>
        <v>0</v>
      </c>
      <c r="DD391" s="136">
        <f t="shared" si="4441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47">BK391*$FH391</f>
        <v>0</v>
      </c>
      <c r="EQ391" s="62">
        <f t="shared" si="4447"/>
        <v>0</v>
      </c>
      <c r="ER391" s="62">
        <f t="shared" si="4447"/>
        <v>0</v>
      </c>
      <c r="ES391" s="62">
        <f t="shared" si="4447"/>
        <v>0</v>
      </c>
      <c r="ET391" s="62">
        <f t="shared" si="4447"/>
        <v>0</v>
      </c>
      <c r="EU391" s="62">
        <f t="shared" si="4447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42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 t="shared" ref="FR391:FR454" si="4448">EXACT(FK391,BA391)</f>
        <v>1</v>
      </c>
      <c r="FS391" s="103" t="b">
        <f t="shared" ref="FS391:FS454" si="4449">EXACT(FL391,BB391)</f>
        <v>1</v>
      </c>
      <c r="FT391" s="103" t="b">
        <f t="shared" ref="FT391:FT454" si="4450">EXACT(FM391,BC391)</f>
        <v>1</v>
      </c>
      <c r="FU391" s="103" t="b">
        <f t="shared" ref="FU391:FU454" si="4451">EXACT(FN391,BD391)</f>
        <v>0</v>
      </c>
      <c r="FV391" s="103" t="b">
        <f t="shared" ref="FV391:FV454" si="4452">EXACT(FO391,BE391)</f>
        <v>1</v>
      </c>
      <c r="FW391" s="104" t="b">
        <f t="shared" si="3637"/>
        <v>0</v>
      </c>
      <c r="FX391" s="120" t="b">
        <f t="shared" si="4443"/>
        <v>1</v>
      </c>
      <c r="FY391" s="104" t="s">
        <v>491</v>
      </c>
      <c r="FZ391" s="104" t="b">
        <f t="shared" si="4444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45"/>
        <v>1</v>
      </c>
      <c r="GI391" s="8" t="b">
        <f t="shared" si="4446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53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54">AA392*FH392</f>
        <v>0</v>
      </c>
      <c r="AF392" s="95">
        <f t="shared" ref="AF392:AF401" si="4455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56">IFERROR(S392/BQ392*30,"нет оборота")</f>
        <v>182.48021503965958</v>
      </c>
      <c r="AO392" s="130" t="str">
        <f t="shared" ref="AO392:AO401" si="4457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58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59">IF(AT392="Да",W392,0)</f>
        <v>0</v>
      </c>
      <c r="AX392" s="144"/>
      <c r="AY392" s="146">
        <f t="shared" ref="AY392:AY401" si="4460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61">BE392*FH392</f>
        <v>0</v>
      </c>
      <c r="BG392" s="32">
        <v>0</v>
      </c>
      <c r="BH392" s="32">
        <f t="shared" ref="BH392:BH401" si="4462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63">IF(COUNTIF(BK392:BP392,"&gt;0")=0,0,SUM(BK392:BP392)/COUNTIF(BK392:BP392,"&gt;0"))</f>
        <v>2827.855</v>
      </c>
      <c r="BR392" s="95">
        <f t="shared" ref="BR392:BR401" si="4464">IF(OR(Q392=0,SUM(BK392:BP392)=0,V392&gt;Q392),V392-BK392,Q392-BK392)</f>
        <v>9401.919921875</v>
      </c>
      <c r="BS392" s="133">
        <f t="shared" ref="BS392:BW393" si="4465">BR392-BL392</f>
        <v>6600.919921875</v>
      </c>
      <c r="BT392" s="133">
        <f t="shared" si="4465"/>
        <v>3457.919921875</v>
      </c>
      <c r="BU392" s="133">
        <f t="shared" si="4465"/>
        <v>166.919921875</v>
      </c>
      <c r="BV392" s="133">
        <f t="shared" si="4465"/>
        <v>-2887.080078125</v>
      </c>
      <c r="BW392" s="133">
        <f t="shared" si="4465"/>
        <v>-5640.2100781250001</v>
      </c>
      <c r="BX392" s="133">
        <f t="shared" ref="BX392:CO394" si="4466">BW392-$BQ392</f>
        <v>-8468.0650781250006</v>
      </c>
      <c r="BY392" s="133">
        <f t="shared" si="4466"/>
        <v>-11295.920078125</v>
      </c>
      <c r="BZ392" s="133">
        <f t="shared" si="4466"/>
        <v>-14123.775078125</v>
      </c>
      <c r="CA392" s="133">
        <f t="shared" si="4466"/>
        <v>-16951.630078124999</v>
      </c>
      <c r="CB392" s="133">
        <f t="shared" si="4466"/>
        <v>-19779.485078124999</v>
      </c>
      <c r="CC392" s="133">
        <f t="shared" si="4466"/>
        <v>-22607.340078124998</v>
      </c>
      <c r="CD392" s="133">
        <f t="shared" si="4466"/>
        <v>-25435.195078124998</v>
      </c>
      <c r="CE392" s="133">
        <f t="shared" si="4466"/>
        <v>-28263.050078124998</v>
      </c>
      <c r="CF392" s="133">
        <f t="shared" si="4466"/>
        <v>-31090.905078124997</v>
      </c>
      <c r="CG392" s="133">
        <f t="shared" si="4466"/>
        <v>-33918.760078125</v>
      </c>
      <c r="CH392" s="133">
        <f t="shared" si="4466"/>
        <v>-36746.615078125003</v>
      </c>
      <c r="CI392" s="133">
        <f t="shared" si="4466"/>
        <v>-39574.470078125007</v>
      </c>
      <c r="CJ392" s="133">
        <f t="shared" si="4466"/>
        <v>-42402.32507812501</v>
      </c>
      <c r="CK392" s="133">
        <f t="shared" si="4466"/>
        <v>-45230.180078125013</v>
      </c>
      <c r="CL392" s="133">
        <f t="shared" si="4466"/>
        <v>-48058.035078125016</v>
      </c>
      <c r="CM392" s="133">
        <f t="shared" si="4466"/>
        <v>-50885.890078125019</v>
      </c>
      <c r="CN392" s="133">
        <f t="shared" si="4466"/>
        <v>-53713.745078125023</v>
      </c>
      <c r="CO392" s="133">
        <f t="shared" si="4466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67">IFERROR(CZ392/CY392,0)</f>
        <v>0</v>
      </c>
      <c r="DB392" s="4">
        <f t="shared" ref="DB392:DB397" si="4468">CY392*FH392</f>
        <v>0</v>
      </c>
      <c r="DC392" s="4">
        <f t="shared" ref="DC392:DC397" si="4469">CZ392*FH392</f>
        <v>0</v>
      </c>
      <c r="DD392" s="136">
        <f t="shared" ref="DD392:DD397" si="4470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71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 t="shared" si="4448"/>
        <v>0</v>
      </c>
      <c r="FS392" s="150" t="b">
        <f t="shared" si="4449"/>
        <v>0</v>
      </c>
      <c r="FT392" s="150" t="b">
        <f t="shared" si="4450"/>
        <v>0</v>
      </c>
      <c r="FU392" s="150" t="b">
        <f t="shared" si="4451"/>
        <v>0</v>
      </c>
      <c r="FV392" s="150" t="b">
        <f t="shared" si="4452"/>
        <v>1</v>
      </c>
      <c r="FW392" s="104" t="b">
        <f t="shared" ref="FW392:FW455" si="4472">EXACT(FP392,BG392)</f>
        <v>0</v>
      </c>
      <c r="FX392" s="150" t="b">
        <f t="shared" ref="FX392:FX401" si="4473">EXACT(FQ392,BI392)</f>
        <v>1</v>
      </c>
      <c r="FY392" s="104" t="s">
        <v>491</v>
      </c>
      <c r="FZ392" s="104" t="b">
        <f t="shared" ref="FZ392:FZ401" si="4474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75">EXACT(GD392,C392)</f>
        <v>1</v>
      </c>
      <c r="GI392" s="151" t="b">
        <f t="shared" ref="GI392:GI401" si="4476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53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54"/>
        <v>0</v>
      </c>
      <c r="AF393" s="95">
        <f t="shared" si="4455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56"/>
        <v>182.48021503965958</v>
      </c>
      <c r="AO393" s="133" t="str">
        <f t="shared" si="4457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58"/>
        <v>0-05</v>
      </c>
      <c r="AW393" s="117">
        <f t="shared" si="4459"/>
        <v>0</v>
      </c>
      <c r="AX393" s="14"/>
      <c r="AY393" s="25">
        <f t="shared" si="4460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61"/>
        <v>0</v>
      </c>
      <c r="BG393" s="32">
        <v>0</v>
      </c>
      <c r="BH393" s="32">
        <f t="shared" si="4462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63"/>
        <v>2827.855</v>
      </c>
      <c r="BR393" s="95">
        <f t="shared" si="4464"/>
        <v>9401.919921875</v>
      </c>
      <c r="BS393" s="133">
        <f t="shared" si="4465"/>
        <v>6600.919921875</v>
      </c>
      <c r="BT393" s="133">
        <f t="shared" si="4465"/>
        <v>3457.919921875</v>
      </c>
      <c r="BU393" s="133">
        <f t="shared" si="4465"/>
        <v>166.919921875</v>
      </c>
      <c r="BV393" s="133">
        <f t="shared" si="4465"/>
        <v>-2887.080078125</v>
      </c>
      <c r="BW393" s="133">
        <f t="shared" si="4465"/>
        <v>-5640.2100781250001</v>
      </c>
      <c r="BX393" s="133">
        <f t="shared" si="4466"/>
        <v>-8468.0650781250006</v>
      </c>
      <c r="BY393" s="133">
        <f t="shared" si="4466"/>
        <v>-11295.920078125</v>
      </c>
      <c r="BZ393" s="133">
        <f t="shared" si="4466"/>
        <v>-14123.775078125</v>
      </c>
      <c r="CA393" s="133">
        <f t="shared" si="4466"/>
        <v>-16951.630078124999</v>
      </c>
      <c r="CB393" s="133">
        <f t="shared" si="4466"/>
        <v>-19779.485078124999</v>
      </c>
      <c r="CC393" s="133">
        <f t="shared" si="4466"/>
        <v>-22607.340078124998</v>
      </c>
      <c r="CD393" s="133">
        <f t="shared" si="4466"/>
        <v>-25435.195078124998</v>
      </c>
      <c r="CE393" s="133">
        <f t="shared" si="4466"/>
        <v>-28263.050078124998</v>
      </c>
      <c r="CF393" s="133">
        <f t="shared" si="4466"/>
        <v>-31090.905078124997</v>
      </c>
      <c r="CG393" s="133">
        <f t="shared" si="4466"/>
        <v>-33918.760078125</v>
      </c>
      <c r="CH393" s="133">
        <f t="shared" si="4466"/>
        <v>-36746.615078125003</v>
      </c>
      <c r="CI393" s="133">
        <f t="shared" si="4466"/>
        <v>-39574.470078125007</v>
      </c>
      <c r="CJ393" s="133">
        <f t="shared" si="4466"/>
        <v>-42402.32507812501</v>
      </c>
      <c r="CK393" s="133">
        <f t="shared" si="4466"/>
        <v>-45230.180078125013</v>
      </c>
      <c r="CL393" s="133">
        <f t="shared" si="4466"/>
        <v>-48058.035078125016</v>
      </c>
      <c r="CM393" s="133">
        <f t="shared" si="4466"/>
        <v>-50885.890078125019</v>
      </c>
      <c r="CN393" s="133">
        <f t="shared" si="4466"/>
        <v>-53713.745078125023</v>
      </c>
      <c r="CO393" s="133">
        <f t="shared" si="4466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67"/>
        <v>0</v>
      </c>
      <c r="DB393" s="4">
        <f t="shared" si="4468"/>
        <v>0</v>
      </c>
      <c r="DC393" s="4">
        <f t="shared" si="4469"/>
        <v>0</v>
      </c>
      <c r="DD393" s="136">
        <f t="shared" si="4470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77">BK393*$FH393</f>
        <v>581157.5</v>
      </c>
      <c r="EQ393" s="62">
        <f t="shared" si="4477"/>
        <v>845621.89999999991</v>
      </c>
      <c r="ER393" s="62">
        <f t="shared" si="4477"/>
        <v>948871.7</v>
      </c>
      <c r="ES393" s="62">
        <f t="shared" si="4477"/>
        <v>993552.89999999991</v>
      </c>
      <c r="ET393" s="62">
        <f t="shared" si="4477"/>
        <v>922002.6</v>
      </c>
      <c r="EU393" s="62">
        <f t="shared" si="4477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71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 t="shared" si="4448"/>
        <v>1</v>
      </c>
      <c r="FS393" s="103" t="b">
        <f t="shared" si="4449"/>
        <v>1</v>
      </c>
      <c r="FT393" s="103" t="b">
        <f t="shared" si="4450"/>
        <v>1</v>
      </c>
      <c r="FU393" s="103" t="b">
        <f t="shared" si="4451"/>
        <v>0</v>
      </c>
      <c r="FV393" s="103" t="b">
        <f t="shared" si="4452"/>
        <v>1</v>
      </c>
      <c r="FW393" s="104" t="b">
        <f t="shared" si="4472"/>
        <v>0</v>
      </c>
      <c r="FX393" s="120" t="b">
        <f t="shared" si="4473"/>
        <v>1</v>
      </c>
      <c r="FY393" s="104" t="s">
        <v>491</v>
      </c>
      <c r="FZ393" s="104" t="b">
        <f t="shared" si="4474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75"/>
        <v>1</v>
      </c>
      <c r="GI393" s="8" t="b">
        <f t="shared" si="4476"/>
        <v>0</v>
      </c>
      <c r="GJ393" s="31" t="s">
        <v>203</v>
      </c>
    </row>
    <row r="394" spans="1:192" hidden="1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53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54"/>
        <v>0</v>
      </c>
      <c r="AF394" s="95">
        <f t="shared" si="4455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56"/>
        <v>12.925413235157368</v>
      </c>
      <c r="AO394" s="130" t="str">
        <f t="shared" si="4457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58"/>
        <v>0-01</v>
      </c>
      <c r="AW394" s="149">
        <f t="shared" si="4459"/>
        <v>0</v>
      </c>
      <c r="AX394" s="144"/>
      <c r="AY394" s="146">
        <f t="shared" si="4460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61"/>
        <v>0</v>
      </c>
      <c r="BG394" s="32">
        <v>0</v>
      </c>
      <c r="BH394" s="32">
        <f t="shared" si="4462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63"/>
        <v>73560.705000000002</v>
      </c>
      <c r="BR394" s="95">
        <f t="shared" si="4464"/>
        <v>-10907.514858957526</v>
      </c>
      <c r="BS394" s="133">
        <f t="shared" ref="BS394:BW408" si="4478">BR394-BL394</f>
        <v>-96639.254858957531</v>
      </c>
      <c r="BT394" s="133">
        <f t="shared" si="4478"/>
        <v>-170944.95485895753</v>
      </c>
      <c r="BU394" s="133">
        <f t="shared" si="4478"/>
        <v>-245835.55485895753</v>
      </c>
      <c r="BV394" s="133">
        <f t="shared" si="4478"/>
        <v>-326830.28485895752</v>
      </c>
      <c r="BW394" s="133">
        <f t="shared" si="4478"/>
        <v>-399668.40485895751</v>
      </c>
      <c r="BX394" s="133">
        <f t="shared" si="4466"/>
        <v>-473229.10985895753</v>
      </c>
      <c r="BY394" s="133">
        <f t="shared" si="4466"/>
        <v>-546789.81485895754</v>
      </c>
      <c r="BZ394" s="133">
        <f t="shared" si="4466"/>
        <v>-620350.5198589575</v>
      </c>
      <c r="CA394" s="133">
        <f t="shared" ref="CA394:CO394" si="4479">BZ394-$BQ394</f>
        <v>-693911.22485895746</v>
      </c>
      <c r="CB394" s="133">
        <f t="shared" si="4479"/>
        <v>-767471.92985895742</v>
      </c>
      <c r="CC394" s="133">
        <f t="shared" si="4479"/>
        <v>-841032.63485895738</v>
      </c>
      <c r="CD394" s="133">
        <f t="shared" si="4479"/>
        <v>-914593.33985895733</v>
      </c>
      <c r="CE394" s="133">
        <f t="shared" si="4479"/>
        <v>-988154.04485895729</v>
      </c>
      <c r="CF394" s="133">
        <f t="shared" si="4479"/>
        <v>-1061714.7498589572</v>
      </c>
      <c r="CG394" s="133">
        <f t="shared" si="4479"/>
        <v>-1135275.4548589573</v>
      </c>
      <c r="CH394" s="133">
        <f t="shared" si="4479"/>
        <v>-1208836.1598589574</v>
      </c>
      <c r="CI394" s="133">
        <f t="shared" si="4479"/>
        <v>-1282396.8648589575</v>
      </c>
      <c r="CJ394" s="133">
        <f t="shared" si="4479"/>
        <v>-1355957.5698589575</v>
      </c>
      <c r="CK394" s="133">
        <f t="shared" si="4479"/>
        <v>-1429518.2748589576</v>
      </c>
      <c r="CL394" s="133">
        <f t="shared" si="4479"/>
        <v>-1503078.9798589577</v>
      </c>
      <c r="CM394" s="133">
        <f t="shared" si="4479"/>
        <v>-1576639.6848589578</v>
      </c>
      <c r="CN394" s="133">
        <f t="shared" si="4479"/>
        <v>-1650200.3898589578</v>
      </c>
      <c r="CO394" s="133">
        <f t="shared" si="4479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67"/>
        <v>0</v>
      </c>
      <c r="DB394" s="4">
        <f t="shared" si="4468"/>
        <v>0</v>
      </c>
      <c r="DC394" s="4">
        <f t="shared" si="4469"/>
        <v>0</v>
      </c>
      <c r="DD394" s="136">
        <f t="shared" si="4470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71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 t="shared" si="4448"/>
        <v>0</v>
      </c>
      <c r="FS394" s="150" t="b">
        <f t="shared" si="4449"/>
        <v>0</v>
      </c>
      <c r="FT394" s="150" t="b">
        <f t="shared" si="4450"/>
        <v>0</v>
      </c>
      <c r="FU394" s="150" t="b">
        <f t="shared" si="4451"/>
        <v>0</v>
      </c>
      <c r="FV394" s="150" t="b">
        <f t="shared" si="4452"/>
        <v>1</v>
      </c>
      <c r="FW394" s="104" t="b">
        <f t="shared" si="4472"/>
        <v>0</v>
      </c>
      <c r="FX394" s="150" t="b">
        <f t="shared" si="4473"/>
        <v>1</v>
      </c>
      <c r="FY394" s="104" t="s">
        <v>368</v>
      </c>
      <c r="FZ394" s="104" t="b">
        <f t="shared" si="4474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75"/>
        <v>1</v>
      </c>
      <c r="GI394" s="151" t="b">
        <f t="shared" si="4476"/>
        <v>0</v>
      </c>
      <c r="GJ394" s="31" t="s">
        <v>203</v>
      </c>
    </row>
    <row r="395" spans="1:192" hidden="1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53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54"/>
        <v>0</v>
      </c>
      <c r="AF395" s="95">
        <f t="shared" si="4455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56"/>
        <v>12.925413235157368</v>
      </c>
      <c r="AO395" s="133" t="str">
        <f t="shared" si="4457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58"/>
        <v>0-01</v>
      </c>
      <c r="AW395" s="117">
        <f t="shared" si="4459"/>
        <v>0</v>
      </c>
      <c r="AX395" s="14"/>
      <c r="AY395" s="25">
        <f t="shared" si="4460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61"/>
        <v>0</v>
      </c>
      <c r="BG395" s="32">
        <v>0</v>
      </c>
      <c r="BH395" s="32">
        <f t="shared" si="4462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63"/>
        <v>73560.705000000002</v>
      </c>
      <c r="BR395" s="95">
        <f t="shared" si="4464"/>
        <v>-10907.514858957526</v>
      </c>
      <c r="BS395" s="133">
        <f t="shared" si="4478"/>
        <v>-96639.254858957531</v>
      </c>
      <c r="BT395" s="133">
        <f t="shared" si="4478"/>
        <v>-170944.95485895753</v>
      </c>
      <c r="BU395" s="133">
        <f t="shared" si="4478"/>
        <v>-245835.55485895753</v>
      </c>
      <c r="BV395" s="133">
        <f t="shared" si="4478"/>
        <v>-326830.28485895752</v>
      </c>
      <c r="BW395" s="133">
        <f t="shared" si="4478"/>
        <v>-399668.40485895751</v>
      </c>
      <c r="BX395" s="133">
        <f t="shared" ref="BX395:CO401" si="4480">BW395-$BQ395</f>
        <v>-473229.10985895753</v>
      </c>
      <c r="BY395" s="133">
        <f t="shared" si="4480"/>
        <v>-546789.81485895754</v>
      </c>
      <c r="BZ395" s="133">
        <f t="shared" si="4480"/>
        <v>-620350.5198589575</v>
      </c>
      <c r="CA395" s="133">
        <f t="shared" si="4480"/>
        <v>-693911.22485895746</v>
      </c>
      <c r="CB395" s="133">
        <f t="shared" si="4480"/>
        <v>-767471.92985895742</v>
      </c>
      <c r="CC395" s="133">
        <f t="shared" si="4480"/>
        <v>-841032.63485895738</v>
      </c>
      <c r="CD395" s="133">
        <f t="shared" si="4480"/>
        <v>-914593.33985895733</v>
      </c>
      <c r="CE395" s="133">
        <f t="shared" si="4480"/>
        <v>-988154.04485895729</v>
      </c>
      <c r="CF395" s="133">
        <f t="shared" si="4480"/>
        <v>-1061714.7498589572</v>
      </c>
      <c r="CG395" s="133">
        <f t="shared" si="4480"/>
        <v>-1135275.4548589573</v>
      </c>
      <c r="CH395" s="133">
        <f t="shared" si="4480"/>
        <v>-1208836.1598589574</v>
      </c>
      <c r="CI395" s="133">
        <f t="shared" si="4480"/>
        <v>-1282396.8648589575</v>
      </c>
      <c r="CJ395" s="133">
        <f t="shared" si="4480"/>
        <v>-1355957.5698589575</v>
      </c>
      <c r="CK395" s="133">
        <f t="shared" si="4480"/>
        <v>-1429518.2748589576</v>
      </c>
      <c r="CL395" s="133">
        <f t="shared" si="4480"/>
        <v>-1503078.9798589577</v>
      </c>
      <c r="CM395" s="133">
        <f t="shared" si="4480"/>
        <v>-1576639.6848589578</v>
      </c>
      <c r="CN395" s="133">
        <f t="shared" si="4480"/>
        <v>-1650200.3898589578</v>
      </c>
      <c r="CO395" s="133">
        <f t="shared" si="4480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67"/>
        <v>0</v>
      </c>
      <c r="DB395" s="4">
        <f t="shared" si="4468"/>
        <v>0</v>
      </c>
      <c r="DC395" s="4">
        <f t="shared" si="4469"/>
        <v>0</v>
      </c>
      <c r="DD395" s="136">
        <f t="shared" si="4470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81">BK395*$FH395</f>
        <v>6755846.9561999999</v>
      </c>
      <c r="EQ395" s="62">
        <f t="shared" si="4481"/>
        <v>11010527.3682</v>
      </c>
      <c r="ER395" s="62">
        <f t="shared" si="4481"/>
        <v>9543081.0510000009</v>
      </c>
      <c r="ES395" s="62">
        <f t="shared" si="4481"/>
        <v>9618199.7580000013</v>
      </c>
      <c r="ET395" s="62">
        <f t="shared" si="4481"/>
        <v>10402153.173900001</v>
      </c>
      <c r="EU395" s="62">
        <f t="shared" si="4481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71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 t="shared" si="4448"/>
        <v>1</v>
      </c>
      <c r="FS395" s="103" t="b">
        <f t="shared" si="4449"/>
        <v>1</v>
      </c>
      <c r="FT395" s="103" t="b">
        <f t="shared" si="4450"/>
        <v>0</v>
      </c>
      <c r="FU395" s="103" t="b">
        <f t="shared" si="4451"/>
        <v>0</v>
      </c>
      <c r="FV395" s="103" t="b">
        <f t="shared" si="4452"/>
        <v>1</v>
      </c>
      <c r="FW395" s="104" t="b">
        <f t="shared" si="4472"/>
        <v>0</v>
      </c>
      <c r="FX395" s="120" t="b">
        <f t="shared" si="4473"/>
        <v>1</v>
      </c>
      <c r="FY395" s="104" t="s">
        <v>368</v>
      </c>
      <c r="FZ395" s="104" t="b">
        <f t="shared" si="4474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75"/>
        <v>1</v>
      </c>
      <c r="GI395" s="8" t="b">
        <f t="shared" si="4476"/>
        <v>0</v>
      </c>
      <c r="GJ395" s="31" t="s">
        <v>203</v>
      </c>
    </row>
    <row r="396" spans="1:192" hidden="1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53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54"/>
        <v>0</v>
      </c>
      <c r="AF396" s="95">
        <f t="shared" si="4455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56"/>
        <v>49.781261815633385</v>
      </c>
      <c r="AO396" s="130" t="str">
        <f t="shared" si="4457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58"/>
        <v>нет остатка</v>
      </c>
      <c r="AW396" s="149">
        <f t="shared" si="4459"/>
        <v>0</v>
      </c>
      <c r="AX396" s="144"/>
      <c r="AY396" s="146">
        <f t="shared" si="4460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61"/>
        <v>0</v>
      </c>
      <c r="BG396" s="32">
        <v>0</v>
      </c>
      <c r="BH396" s="32">
        <f t="shared" si="4462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63"/>
        <v>1780.5916666666669</v>
      </c>
      <c r="BR396" s="95">
        <f t="shared" si="4464"/>
        <v>-1167.6400000000001</v>
      </c>
      <c r="BS396" s="133">
        <f t="shared" si="4478"/>
        <v>-2540.59</v>
      </c>
      <c r="BT396" s="133">
        <f t="shared" si="4478"/>
        <v>-3980.75</v>
      </c>
      <c r="BU396" s="133">
        <f t="shared" si="4478"/>
        <v>-6518.7800000000007</v>
      </c>
      <c r="BV396" s="133">
        <f t="shared" si="4478"/>
        <v>-8682.4600000000009</v>
      </c>
      <c r="BW396" s="133">
        <f t="shared" si="4478"/>
        <v>-10518.550000000001</v>
      </c>
      <c r="BX396" s="133">
        <f t="shared" si="4480"/>
        <v>-12299.141666666668</v>
      </c>
      <c r="BY396" s="133">
        <f t="shared" si="4480"/>
        <v>-14079.733333333335</v>
      </c>
      <c r="BZ396" s="133">
        <f t="shared" si="4480"/>
        <v>-15860.325000000003</v>
      </c>
      <c r="CA396" s="133">
        <f t="shared" si="4480"/>
        <v>-17640.916666666668</v>
      </c>
      <c r="CB396" s="133">
        <f t="shared" si="4480"/>
        <v>-19421.508333333335</v>
      </c>
      <c r="CC396" s="133">
        <f t="shared" si="4480"/>
        <v>-21202.100000000002</v>
      </c>
      <c r="CD396" s="133">
        <f t="shared" si="4480"/>
        <v>-22982.691666666669</v>
      </c>
      <c r="CE396" s="133">
        <f t="shared" si="4480"/>
        <v>-24763.283333333336</v>
      </c>
      <c r="CF396" s="133">
        <f t="shared" si="4480"/>
        <v>-26543.875000000004</v>
      </c>
      <c r="CG396" s="133">
        <f t="shared" si="4480"/>
        <v>-28324.466666666671</v>
      </c>
      <c r="CH396" s="133">
        <f t="shared" si="4480"/>
        <v>-30105.058333333338</v>
      </c>
      <c r="CI396" s="133">
        <f t="shared" si="4480"/>
        <v>-31885.650000000005</v>
      </c>
      <c r="CJ396" s="133">
        <f t="shared" si="4480"/>
        <v>-33666.241666666669</v>
      </c>
      <c r="CK396" s="133">
        <f t="shared" si="4480"/>
        <v>-35446.833333333336</v>
      </c>
      <c r="CL396" s="133">
        <f t="shared" si="4480"/>
        <v>-37227.425000000003</v>
      </c>
      <c r="CM396" s="133">
        <f t="shared" si="4480"/>
        <v>-39008.01666666667</v>
      </c>
      <c r="CN396" s="133">
        <f t="shared" si="4480"/>
        <v>-40788.608333333337</v>
      </c>
      <c r="CO396" s="133">
        <f t="shared" si="4480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67"/>
        <v>0</v>
      </c>
      <c r="DB396" s="4">
        <f t="shared" si="4468"/>
        <v>0</v>
      </c>
      <c r="DC396" s="4">
        <f t="shared" si="4469"/>
        <v>0</v>
      </c>
      <c r="DD396" s="136">
        <f t="shared" si="4470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71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 t="shared" si="4448"/>
        <v>0</v>
      </c>
      <c r="FS396" s="150" t="b">
        <f t="shared" si="4449"/>
        <v>0</v>
      </c>
      <c r="FT396" s="150" t="b">
        <f t="shared" si="4450"/>
        <v>0</v>
      </c>
      <c r="FU396" s="150" t="b">
        <f t="shared" si="4451"/>
        <v>0</v>
      </c>
      <c r="FV396" s="150" t="b">
        <f t="shared" si="4452"/>
        <v>1</v>
      </c>
      <c r="FW396" s="104" t="b">
        <f t="shared" si="4472"/>
        <v>0</v>
      </c>
      <c r="FX396" s="150" t="b">
        <f t="shared" si="4473"/>
        <v>1</v>
      </c>
      <c r="FY396" s="104" t="s">
        <v>368</v>
      </c>
      <c r="FZ396" s="104" t="b">
        <f t="shared" si="4474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75"/>
        <v>1</v>
      </c>
      <c r="GI396" s="151" t="b">
        <f t="shared" si="4476"/>
        <v>0</v>
      </c>
      <c r="GJ396" s="31" t="s">
        <v>203</v>
      </c>
    </row>
    <row r="397" spans="1:192" ht="30" hidden="1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53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54"/>
        <v>0</v>
      </c>
      <c r="AF397" s="95">
        <f t="shared" si="4455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56"/>
        <v>49.781261815633385</v>
      </c>
      <c r="AO397" s="133" t="str">
        <f t="shared" si="4457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58"/>
        <v>нет остатка</v>
      </c>
      <c r="AW397" s="117">
        <f t="shared" si="4459"/>
        <v>0</v>
      </c>
      <c r="AX397" s="14"/>
      <c r="AY397" s="25">
        <f t="shared" si="4460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61"/>
        <v>0</v>
      </c>
      <c r="BG397" s="32">
        <v>0</v>
      </c>
      <c r="BH397" s="32">
        <f t="shared" si="4462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63"/>
        <v>1780.5916666666669</v>
      </c>
      <c r="BR397" s="95">
        <f t="shared" si="4464"/>
        <v>-1167.6400000000001</v>
      </c>
      <c r="BS397" s="133">
        <f t="shared" si="4478"/>
        <v>-2540.59</v>
      </c>
      <c r="BT397" s="133">
        <f t="shared" si="4478"/>
        <v>-3980.75</v>
      </c>
      <c r="BU397" s="133">
        <f t="shared" si="4478"/>
        <v>-6518.7800000000007</v>
      </c>
      <c r="BV397" s="133">
        <f t="shared" si="4478"/>
        <v>-8682.4600000000009</v>
      </c>
      <c r="BW397" s="133">
        <f t="shared" si="4478"/>
        <v>-10518.550000000001</v>
      </c>
      <c r="BX397" s="133">
        <f t="shared" si="4480"/>
        <v>-12299.141666666668</v>
      </c>
      <c r="BY397" s="133">
        <f t="shared" si="4480"/>
        <v>-14079.733333333335</v>
      </c>
      <c r="BZ397" s="133">
        <f t="shared" si="4480"/>
        <v>-15860.325000000003</v>
      </c>
      <c r="CA397" s="133">
        <f t="shared" si="4480"/>
        <v>-17640.916666666668</v>
      </c>
      <c r="CB397" s="133">
        <f t="shared" si="4480"/>
        <v>-19421.508333333335</v>
      </c>
      <c r="CC397" s="133">
        <f t="shared" si="4480"/>
        <v>-21202.100000000002</v>
      </c>
      <c r="CD397" s="133">
        <f t="shared" si="4480"/>
        <v>-22982.691666666669</v>
      </c>
      <c r="CE397" s="133">
        <f t="shared" si="4480"/>
        <v>-24763.283333333336</v>
      </c>
      <c r="CF397" s="133">
        <f t="shared" si="4480"/>
        <v>-26543.875000000004</v>
      </c>
      <c r="CG397" s="133">
        <f t="shared" si="4480"/>
        <v>-28324.466666666671</v>
      </c>
      <c r="CH397" s="133">
        <f t="shared" si="4480"/>
        <v>-30105.058333333338</v>
      </c>
      <c r="CI397" s="133">
        <f t="shared" si="4480"/>
        <v>-31885.650000000005</v>
      </c>
      <c r="CJ397" s="133">
        <f t="shared" si="4480"/>
        <v>-33666.241666666669</v>
      </c>
      <c r="CK397" s="133">
        <f t="shared" si="4480"/>
        <v>-35446.833333333336</v>
      </c>
      <c r="CL397" s="133">
        <f t="shared" si="4480"/>
        <v>-37227.425000000003</v>
      </c>
      <c r="CM397" s="133">
        <f t="shared" si="4480"/>
        <v>-39008.01666666667</v>
      </c>
      <c r="CN397" s="133">
        <f t="shared" si="4480"/>
        <v>-40788.608333333337</v>
      </c>
      <c r="CO397" s="133">
        <f t="shared" si="4480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67"/>
        <v>0</v>
      </c>
      <c r="DB397" s="4">
        <f t="shared" si="4468"/>
        <v>0</v>
      </c>
      <c r="DC397" s="4">
        <f t="shared" si="4469"/>
        <v>0</v>
      </c>
      <c r="DD397" s="136">
        <f t="shared" si="4470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82">BK397*$FH397</f>
        <v>1767120.6192000001</v>
      </c>
      <c r="EQ397" s="62">
        <f t="shared" si="4482"/>
        <v>1820572.8885000001</v>
      </c>
      <c r="ER397" s="62">
        <f t="shared" si="4482"/>
        <v>1909695.3648000001</v>
      </c>
      <c r="ES397" s="62">
        <f t="shared" si="4482"/>
        <v>3365503.9209000003</v>
      </c>
      <c r="ET397" s="62">
        <f t="shared" si="4482"/>
        <v>2869104.5903999996</v>
      </c>
      <c r="EU397" s="62">
        <f t="shared" si="4482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71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 t="shared" si="4448"/>
        <v>1</v>
      </c>
      <c r="FS397" s="103" t="b">
        <f t="shared" si="4449"/>
        <v>1</v>
      </c>
      <c r="FT397" s="103" t="b">
        <f t="shared" si="4450"/>
        <v>0</v>
      </c>
      <c r="FU397" s="103" t="b">
        <f t="shared" si="4451"/>
        <v>0</v>
      </c>
      <c r="FV397" s="103" t="b">
        <f t="shared" si="4452"/>
        <v>1</v>
      </c>
      <c r="FW397" s="104" t="b">
        <f t="shared" si="4472"/>
        <v>0</v>
      </c>
      <c r="FX397" s="120" t="b">
        <f t="shared" si="4473"/>
        <v>1</v>
      </c>
      <c r="FY397" s="104" t="s">
        <v>368</v>
      </c>
      <c r="FZ397" s="104" t="b">
        <f t="shared" si="4474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75"/>
        <v>1</v>
      </c>
      <c r="GI397" s="8" t="b">
        <f t="shared" si="4476"/>
        <v>0</v>
      </c>
      <c r="GJ397" s="31" t="s">
        <v>203</v>
      </c>
    </row>
    <row r="398" spans="1:192" hidden="1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53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54"/>
        <v>0</v>
      </c>
      <c r="AF398" s="95">
        <f t="shared" si="4455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56"/>
        <v>24.38357575589481</v>
      </c>
      <c r="AO398" s="130" t="str">
        <f t="shared" si="4457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58"/>
        <v>0-02</v>
      </c>
      <c r="AW398" s="149">
        <f t="shared" si="4459"/>
        <v>0</v>
      </c>
      <c r="AX398" s="144"/>
      <c r="AY398" s="146">
        <f t="shared" si="4460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61"/>
        <v>0</v>
      </c>
      <c r="BG398" s="32">
        <v>0</v>
      </c>
      <c r="BH398" s="32">
        <f t="shared" si="4462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63"/>
        <v>11357.235000000001</v>
      </c>
      <c r="BR398" s="95">
        <f t="shared" si="4464"/>
        <v>6343.91</v>
      </c>
      <c r="BS398" s="133">
        <f t="shared" si="4478"/>
        <v>-5576.880000000001</v>
      </c>
      <c r="BT398" s="133">
        <f t="shared" si="4478"/>
        <v>-17359.690000000002</v>
      </c>
      <c r="BU398" s="133">
        <f t="shared" si="4478"/>
        <v>-29523.860000000004</v>
      </c>
      <c r="BV398" s="133">
        <f t="shared" si="4478"/>
        <v>-41396.990000000005</v>
      </c>
      <c r="BW398" s="133">
        <f t="shared" si="4478"/>
        <v>-51581.91</v>
      </c>
      <c r="BX398" s="133">
        <f t="shared" si="4480"/>
        <v>-62939.145000000004</v>
      </c>
      <c r="BY398" s="133">
        <f t="shared" si="4480"/>
        <v>-74296.38</v>
      </c>
      <c r="BZ398" s="133">
        <f t="shared" si="4480"/>
        <v>-85653.615000000005</v>
      </c>
      <c r="CA398" s="133">
        <f t="shared" si="4480"/>
        <v>-97010.85</v>
      </c>
      <c r="CB398" s="133">
        <f t="shared" si="4480"/>
        <v>-108368.08500000001</v>
      </c>
      <c r="CC398" s="133">
        <f t="shared" si="4480"/>
        <v>-119725.32</v>
      </c>
      <c r="CD398" s="133">
        <f t="shared" si="4480"/>
        <v>-131082.55499999999</v>
      </c>
      <c r="CE398" s="133">
        <f t="shared" si="4480"/>
        <v>-142439.78999999998</v>
      </c>
      <c r="CF398" s="133">
        <f t="shared" si="4480"/>
        <v>-153797.02499999997</v>
      </c>
      <c r="CG398" s="133">
        <f t="shared" si="4480"/>
        <v>-165154.25999999995</v>
      </c>
      <c r="CH398" s="133">
        <f t="shared" si="4480"/>
        <v>-176511.49499999994</v>
      </c>
      <c r="CI398" s="133">
        <f t="shared" si="4480"/>
        <v>-187868.72999999992</v>
      </c>
      <c r="CJ398" s="133">
        <f t="shared" si="4480"/>
        <v>-199225.96499999991</v>
      </c>
      <c r="CK398" s="133">
        <f t="shared" si="4480"/>
        <v>-210583.1999999999</v>
      </c>
      <c r="CL398" s="133">
        <f t="shared" si="4480"/>
        <v>-221940.43499999988</v>
      </c>
      <c r="CM398" s="133">
        <f t="shared" si="4480"/>
        <v>-233297.66999999987</v>
      </c>
      <c r="CN398" s="133">
        <f t="shared" si="4480"/>
        <v>-244654.90499999985</v>
      </c>
      <c r="CO398" s="133">
        <f t="shared" si="4480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83">IFERROR(CZ398/CY398,0)</f>
        <v>0</v>
      </c>
      <c r="DB398" s="4">
        <f t="shared" ref="DB398:DB408" si="4484">CY398*FH398</f>
        <v>0</v>
      </c>
      <c r="DC398" s="4">
        <f t="shared" ref="DC398:DC408" si="4485">CZ398*FH398</f>
        <v>0</v>
      </c>
      <c r="DD398" s="136">
        <f t="shared" ref="DD398:DD408" si="4486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71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 t="shared" si="4448"/>
        <v>0</v>
      </c>
      <c r="FS398" s="150" t="b">
        <f t="shared" si="4449"/>
        <v>0</v>
      </c>
      <c r="FT398" s="150" t="b">
        <f t="shared" si="4450"/>
        <v>0</v>
      </c>
      <c r="FU398" s="150" t="b">
        <f t="shared" si="4451"/>
        <v>0</v>
      </c>
      <c r="FV398" s="150" t="b">
        <f t="shared" si="4452"/>
        <v>1</v>
      </c>
      <c r="FW398" s="104" t="b">
        <f t="shared" si="4472"/>
        <v>0</v>
      </c>
      <c r="FX398" s="150" t="b">
        <f t="shared" si="4473"/>
        <v>1</v>
      </c>
      <c r="FY398" s="104" t="s">
        <v>368</v>
      </c>
      <c r="FZ398" s="104" t="b">
        <f t="shared" si="4474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75"/>
        <v>1</v>
      </c>
      <c r="GI398" s="151" t="b">
        <f t="shared" si="4476"/>
        <v>0</v>
      </c>
      <c r="GJ398" s="31" t="s">
        <v>203</v>
      </c>
    </row>
    <row r="399" spans="1:192" ht="30" hidden="1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53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54"/>
        <v>0</v>
      </c>
      <c r="AF399" s="95">
        <f t="shared" si="4455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56"/>
        <v>60.262782253523717</v>
      </c>
      <c r="AO399" s="133" t="str">
        <f t="shared" si="4457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58"/>
        <v>0-02</v>
      </c>
      <c r="AW399" s="117">
        <f t="shared" si="4459"/>
        <v>0</v>
      </c>
      <c r="AX399" s="14"/>
      <c r="AY399" s="25">
        <f t="shared" si="4460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61"/>
        <v>0</v>
      </c>
      <c r="BG399" s="32">
        <v>0</v>
      </c>
      <c r="BH399" s="32">
        <f t="shared" si="4462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63"/>
        <v>2190.4066666666663</v>
      </c>
      <c r="BR399" s="95">
        <f t="shared" si="4464"/>
        <v>1547.6</v>
      </c>
      <c r="BS399" s="133">
        <f t="shared" si="4478"/>
        <v>-683.27</v>
      </c>
      <c r="BT399" s="133">
        <f t="shared" si="4478"/>
        <v>-2947.92</v>
      </c>
      <c r="BU399" s="133">
        <f t="shared" si="4478"/>
        <v>-5231.05</v>
      </c>
      <c r="BV399" s="133">
        <f t="shared" si="4478"/>
        <v>-7402.6100000000006</v>
      </c>
      <c r="BW399" s="133">
        <f t="shared" si="4478"/>
        <v>-9322.44</v>
      </c>
      <c r="BX399" s="133">
        <f t="shared" si="4480"/>
        <v>-11512.846666666666</v>
      </c>
      <c r="BY399" s="133">
        <f t="shared" si="4480"/>
        <v>-13703.253333333332</v>
      </c>
      <c r="BZ399" s="133">
        <f t="shared" si="4480"/>
        <v>-15893.659999999998</v>
      </c>
      <c r="CA399" s="133">
        <f t="shared" si="4480"/>
        <v>-18084.066666666666</v>
      </c>
      <c r="CB399" s="133">
        <f t="shared" si="4480"/>
        <v>-20274.473333333332</v>
      </c>
      <c r="CC399" s="133">
        <f t="shared" si="4480"/>
        <v>-22464.879999999997</v>
      </c>
      <c r="CD399" s="133">
        <f t="shared" si="4480"/>
        <v>-24655.286666666663</v>
      </c>
      <c r="CE399" s="133">
        <f t="shared" si="4480"/>
        <v>-26845.693333333329</v>
      </c>
      <c r="CF399" s="133">
        <f t="shared" si="4480"/>
        <v>-29036.099999999995</v>
      </c>
      <c r="CG399" s="133">
        <f t="shared" si="4480"/>
        <v>-31226.506666666661</v>
      </c>
      <c r="CH399" s="133">
        <f t="shared" si="4480"/>
        <v>-33416.91333333333</v>
      </c>
      <c r="CI399" s="133">
        <f t="shared" si="4480"/>
        <v>-35607.32</v>
      </c>
      <c r="CJ399" s="133">
        <f t="shared" si="4480"/>
        <v>-37797.726666666669</v>
      </c>
      <c r="CK399" s="133">
        <f t="shared" si="4480"/>
        <v>-39988.133333333339</v>
      </c>
      <c r="CL399" s="133">
        <f t="shared" si="4480"/>
        <v>-42178.540000000008</v>
      </c>
      <c r="CM399" s="133">
        <f t="shared" si="4480"/>
        <v>-44368.946666666678</v>
      </c>
      <c r="CN399" s="133">
        <f t="shared" si="4480"/>
        <v>-46559.353333333347</v>
      </c>
      <c r="CO399" s="133">
        <f t="shared" si="4480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83"/>
        <v>0</v>
      </c>
      <c r="DB399" s="4">
        <f t="shared" si="4484"/>
        <v>0</v>
      </c>
      <c r="DC399" s="4">
        <f t="shared" si="4485"/>
        <v>0</v>
      </c>
      <c r="DD399" s="136">
        <f t="shared" si="4486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87">BK399*$FH399</f>
        <v>1364053.548</v>
      </c>
      <c r="EQ399" s="62">
        <f t="shared" si="4487"/>
        <v>1339124.3348999999</v>
      </c>
      <c r="ER399" s="62">
        <f t="shared" si="4487"/>
        <v>1359401.4554999999</v>
      </c>
      <c r="ES399" s="62">
        <f t="shared" si="4487"/>
        <v>1370494.4451000001</v>
      </c>
      <c r="ET399" s="62">
        <f t="shared" si="4487"/>
        <v>1303522.3211999999</v>
      </c>
      <c r="EU399" s="62">
        <f t="shared" si="4487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71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 t="shared" si="4448"/>
        <v>1</v>
      </c>
      <c r="FS399" s="103" t="b">
        <f t="shared" si="4449"/>
        <v>1</v>
      </c>
      <c r="FT399" s="103" t="b">
        <f t="shared" si="4450"/>
        <v>0</v>
      </c>
      <c r="FU399" s="103" t="b">
        <f t="shared" si="4451"/>
        <v>0</v>
      </c>
      <c r="FV399" s="103" t="b">
        <f t="shared" si="4452"/>
        <v>1</v>
      </c>
      <c r="FW399" s="104" t="b">
        <f t="shared" si="4472"/>
        <v>0</v>
      </c>
      <c r="FX399" s="120" t="b">
        <f t="shared" si="4473"/>
        <v>1</v>
      </c>
      <c r="FY399" s="104" t="s">
        <v>368</v>
      </c>
      <c r="FZ399" s="104" t="b">
        <f t="shared" si="4474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75"/>
        <v>1</v>
      </c>
      <c r="GI399" s="8" t="b">
        <f t="shared" si="4476"/>
        <v>0</v>
      </c>
      <c r="GJ399" s="31" t="s">
        <v>203</v>
      </c>
    </row>
    <row r="400" spans="1:192" ht="30" hidden="1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53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54"/>
        <v>0</v>
      </c>
      <c r="AF400" s="95">
        <f t="shared" si="4455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56"/>
        <v>15.155732707986786</v>
      </c>
      <c r="AO400" s="133" t="str">
        <f t="shared" si="4457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58"/>
        <v>0-02</v>
      </c>
      <c r="AW400" s="117">
        <f t="shared" si="4459"/>
        <v>0</v>
      </c>
      <c r="AX400" s="14"/>
      <c r="AY400" s="25">
        <f t="shared" si="4460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61"/>
        <v>0</v>
      </c>
      <c r="BG400" s="32">
        <v>0</v>
      </c>
      <c r="BH400" s="32">
        <f t="shared" si="4462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63"/>
        <v>9166.8283333333329</v>
      </c>
      <c r="BR400" s="95">
        <f t="shared" si="4464"/>
        <v>4757.3100000000004</v>
      </c>
      <c r="BS400" s="133">
        <f t="shared" si="4478"/>
        <v>-4932.6099999999997</v>
      </c>
      <c r="BT400" s="133">
        <f t="shared" si="4478"/>
        <v>-14450.77</v>
      </c>
      <c r="BU400" s="133">
        <f t="shared" si="4478"/>
        <v>-24331.81</v>
      </c>
      <c r="BV400" s="133">
        <f t="shared" si="4478"/>
        <v>-34033.380000000005</v>
      </c>
      <c r="BW400" s="133">
        <f t="shared" si="4478"/>
        <v>-42298.47</v>
      </c>
      <c r="BX400" s="133">
        <f t="shared" si="4480"/>
        <v>-51465.298333333332</v>
      </c>
      <c r="BY400" s="133">
        <f t="shared" si="4480"/>
        <v>-60632.126666666663</v>
      </c>
      <c r="BZ400" s="133">
        <f t="shared" si="4480"/>
        <v>-69798.955000000002</v>
      </c>
      <c r="CA400" s="133">
        <f t="shared" si="4480"/>
        <v>-78965.78333333334</v>
      </c>
      <c r="CB400" s="133">
        <f t="shared" si="4480"/>
        <v>-88132.611666666679</v>
      </c>
      <c r="CC400" s="133">
        <f t="shared" si="4480"/>
        <v>-97299.440000000017</v>
      </c>
      <c r="CD400" s="133">
        <f t="shared" si="4480"/>
        <v>-106466.26833333336</v>
      </c>
      <c r="CE400" s="133">
        <f t="shared" si="4480"/>
        <v>-115633.09666666669</v>
      </c>
      <c r="CF400" s="133">
        <f t="shared" si="4480"/>
        <v>-124799.92500000003</v>
      </c>
      <c r="CG400" s="133">
        <f t="shared" si="4480"/>
        <v>-133966.75333333336</v>
      </c>
      <c r="CH400" s="133">
        <f t="shared" si="4480"/>
        <v>-143133.58166666669</v>
      </c>
      <c r="CI400" s="133">
        <f t="shared" si="4480"/>
        <v>-152300.41000000003</v>
      </c>
      <c r="CJ400" s="133">
        <f t="shared" si="4480"/>
        <v>-161467.23833333337</v>
      </c>
      <c r="CK400" s="133">
        <f t="shared" si="4480"/>
        <v>-170634.06666666671</v>
      </c>
      <c r="CL400" s="133">
        <f t="shared" si="4480"/>
        <v>-179800.89500000005</v>
      </c>
      <c r="CM400" s="133">
        <f t="shared" si="4480"/>
        <v>-188967.72333333339</v>
      </c>
      <c r="CN400" s="133">
        <f t="shared" si="4480"/>
        <v>-198134.55166666672</v>
      </c>
      <c r="CO400" s="133">
        <f t="shared" si="4480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83"/>
        <v>0</v>
      </c>
      <c r="DB400" s="4">
        <f t="shared" si="4484"/>
        <v>0</v>
      </c>
      <c r="DC400" s="4">
        <f t="shared" si="4485"/>
        <v>0</v>
      </c>
      <c r="DD400" s="136">
        <f t="shared" si="4486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87"/>
        <v>4239871.1915999996</v>
      </c>
      <c r="EQ400" s="62">
        <f t="shared" si="4487"/>
        <v>5170928.9088000003</v>
      </c>
      <c r="ER400" s="62">
        <f t="shared" si="4487"/>
        <v>5079270.9024</v>
      </c>
      <c r="ES400" s="62">
        <f t="shared" si="4487"/>
        <v>5272918.1856000004</v>
      </c>
      <c r="ET400" s="62">
        <f t="shared" si="4487"/>
        <v>5177145.8147999998</v>
      </c>
      <c r="EU400" s="62">
        <f t="shared" si="4487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71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 t="shared" si="4448"/>
        <v>1</v>
      </c>
      <c r="FS400" s="103" t="b">
        <f t="shared" si="4449"/>
        <v>1</v>
      </c>
      <c r="FT400" s="103" t="b">
        <f t="shared" si="4450"/>
        <v>0</v>
      </c>
      <c r="FU400" s="103" t="b">
        <f t="shared" si="4451"/>
        <v>0</v>
      </c>
      <c r="FV400" s="103" t="b">
        <f t="shared" si="4452"/>
        <v>1</v>
      </c>
      <c r="FW400" s="104" t="b">
        <f t="shared" si="4472"/>
        <v>0</v>
      </c>
      <c r="FX400" s="120" t="b">
        <f t="shared" si="4473"/>
        <v>1</v>
      </c>
      <c r="FY400" s="104" t="s">
        <v>368</v>
      </c>
      <c r="FZ400" s="104" t="b">
        <f t="shared" si="4474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75"/>
        <v>1</v>
      </c>
      <c r="GI400" s="8" t="b">
        <f t="shared" si="4476"/>
        <v>0</v>
      </c>
      <c r="GJ400" s="31" t="s">
        <v>203</v>
      </c>
    </row>
    <row r="401" spans="1:192" hidden="1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53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54"/>
        <v>0</v>
      </c>
      <c r="AF401" s="95">
        <f t="shared" si="4455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56"/>
        <v>нет оборота</v>
      </c>
      <c r="AO401" s="133" t="str">
        <f t="shared" si="4457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58"/>
        <v>Нет планов</v>
      </c>
      <c r="AW401" s="117">
        <f t="shared" si="4459"/>
        <v>13650</v>
      </c>
      <c r="AX401" s="14"/>
      <c r="AY401" s="25">
        <f t="shared" si="4460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61"/>
        <v>0</v>
      </c>
      <c r="BG401" s="32">
        <v>0</v>
      </c>
      <c r="BH401" s="32">
        <f t="shared" si="4462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63"/>
        <v>0</v>
      </c>
      <c r="BR401" s="95">
        <f t="shared" si="4464"/>
        <v>39</v>
      </c>
      <c r="BS401" s="133">
        <f t="shared" si="4478"/>
        <v>39</v>
      </c>
      <c r="BT401" s="133">
        <f t="shared" si="4478"/>
        <v>39</v>
      </c>
      <c r="BU401" s="133">
        <f t="shared" si="4478"/>
        <v>39</v>
      </c>
      <c r="BV401" s="133">
        <f t="shared" si="4478"/>
        <v>39</v>
      </c>
      <c r="BW401" s="133">
        <f t="shared" si="4478"/>
        <v>39</v>
      </c>
      <c r="BX401" s="133">
        <f t="shared" si="4480"/>
        <v>39</v>
      </c>
      <c r="BY401" s="133">
        <f t="shared" si="4480"/>
        <v>39</v>
      </c>
      <c r="BZ401" s="133">
        <f t="shared" si="4480"/>
        <v>39</v>
      </c>
      <c r="CA401" s="133">
        <f t="shared" si="4480"/>
        <v>39</v>
      </c>
      <c r="CB401" s="133">
        <f t="shared" si="4480"/>
        <v>39</v>
      </c>
      <c r="CC401" s="133">
        <f t="shared" si="4480"/>
        <v>39</v>
      </c>
      <c r="CD401" s="133">
        <f t="shared" si="4480"/>
        <v>39</v>
      </c>
      <c r="CE401" s="133">
        <f t="shared" si="4480"/>
        <v>39</v>
      </c>
      <c r="CF401" s="133">
        <f t="shared" si="4480"/>
        <v>39</v>
      </c>
      <c r="CG401" s="133">
        <f t="shared" si="4480"/>
        <v>39</v>
      </c>
      <c r="CH401" s="133">
        <f t="shared" si="4480"/>
        <v>39</v>
      </c>
      <c r="CI401" s="133">
        <f t="shared" si="4480"/>
        <v>39</v>
      </c>
      <c r="CJ401" s="133">
        <f t="shared" si="4480"/>
        <v>39</v>
      </c>
      <c r="CK401" s="133">
        <f t="shared" si="4480"/>
        <v>39</v>
      </c>
      <c r="CL401" s="133">
        <f t="shared" si="4480"/>
        <v>39</v>
      </c>
      <c r="CM401" s="133">
        <f t="shared" si="4480"/>
        <v>39</v>
      </c>
      <c r="CN401" s="133">
        <f t="shared" si="4480"/>
        <v>39</v>
      </c>
      <c r="CO401" s="133">
        <f t="shared" si="4480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83"/>
        <v>0</v>
      </c>
      <c r="DB401" s="4">
        <f t="shared" si="4484"/>
        <v>0</v>
      </c>
      <c r="DC401" s="4">
        <f t="shared" si="4485"/>
        <v>0</v>
      </c>
      <c r="DD401" s="136">
        <f t="shared" si="4486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87"/>
        <v>0</v>
      </c>
      <c r="EQ401" s="62">
        <f t="shared" si="4487"/>
        <v>0</v>
      </c>
      <c r="ER401" s="62">
        <f t="shared" si="4487"/>
        <v>0</v>
      </c>
      <c r="ES401" s="62">
        <f t="shared" si="4487"/>
        <v>0</v>
      </c>
      <c r="ET401" s="62">
        <f t="shared" si="4487"/>
        <v>0</v>
      </c>
      <c r="EU401" s="62">
        <f t="shared" si="4487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71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 t="shared" si="4448"/>
        <v>1</v>
      </c>
      <c r="FS401" s="103" t="b">
        <f t="shared" si="4449"/>
        <v>1</v>
      </c>
      <c r="FT401" s="103" t="b">
        <f t="shared" si="4450"/>
        <v>0</v>
      </c>
      <c r="FU401" s="103" t="b">
        <f t="shared" si="4451"/>
        <v>0</v>
      </c>
      <c r="FV401" s="103" t="b">
        <f t="shared" si="4452"/>
        <v>1</v>
      </c>
      <c r="FW401" s="104" t="b">
        <f t="shared" si="4472"/>
        <v>0</v>
      </c>
      <c r="FX401" s="120" t="b">
        <f t="shared" si="4473"/>
        <v>1</v>
      </c>
      <c r="FY401" s="104" t="s">
        <v>368</v>
      </c>
      <c r="FZ401" s="104" t="b">
        <f t="shared" si="4474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75"/>
        <v>1</v>
      </c>
      <c r="GI401" s="8" t="b">
        <f t="shared" si="4476"/>
        <v>0</v>
      </c>
      <c r="GJ401" s="31" t="s">
        <v>203</v>
      </c>
    </row>
    <row r="402" spans="1:192" hidden="1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88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89">AA402*FH402</f>
        <v>0</v>
      </c>
      <c r="AF402" s="95">
        <f t="shared" ref="AF402:AF408" si="4490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91">IFERROR(S402/BQ402*30,"нет оборота")</f>
        <v>178.61393244460558</v>
      </c>
      <c r="AO402" s="130" t="str">
        <f t="shared" ref="AO402:AO408" si="4492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93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94">IF(AT402="Да",W402,0)</f>
        <v>0</v>
      </c>
      <c r="AX402" s="144"/>
      <c r="AY402" s="146">
        <f t="shared" ref="AY402:AY408" si="4495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96">BE402*FH402</f>
        <v>0</v>
      </c>
      <c r="BG402" s="32">
        <v>0</v>
      </c>
      <c r="BH402" s="32">
        <f t="shared" ref="BH402:BH408" si="4497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98">IF(COUNTIF(BK402:BP402,"&gt;0")=0,0,SUM(BK402:BP402)/COUNTIF(BK402:BP402,"&gt;0"))</f>
        <v>4505.1916666666666</v>
      </c>
      <c r="BR402" s="95">
        <f t="shared" ref="BR402:BR408" si="4499">IF(OR(Q402=0,SUM(BK402:BP402)=0,V402&gt;Q402),V402-BK402,Q402-BK402)</f>
        <v>19973.45</v>
      </c>
      <c r="BS402" s="133">
        <f t="shared" si="4478"/>
        <v>15130.150000000001</v>
      </c>
      <c r="BT402" s="133">
        <f t="shared" si="4478"/>
        <v>10788.730000000001</v>
      </c>
      <c r="BU402" s="133">
        <f t="shared" si="4478"/>
        <v>6123.4600000000019</v>
      </c>
      <c r="BV402" s="133">
        <f t="shared" si="4478"/>
        <v>1202.8600000000015</v>
      </c>
      <c r="BW402" s="133">
        <f t="shared" si="4478"/>
        <v>-3296.1499999999987</v>
      </c>
      <c r="BX402" s="133">
        <f t="shared" ref="BX402:CO404" si="4500">BW402-$BQ402</f>
        <v>-7801.3416666666653</v>
      </c>
      <c r="BY402" s="133">
        <f t="shared" si="4500"/>
        <v>-12306.533333333333</v>
      </c>
      <c r="BZ402" s="133">
        <f t="shared" si="4500"/>
        <v>-16811.724999999999</v>
      </c>
      <c r="CA402" s="133">
        <f t="shared" si="4500"/>
        <v>-21316.916666666664</v>
      </c>
      <c r="CB402" s="133">
        <f t="shared" si="4500"/>
        <v>-25822.10833333333</v>
      </c>
      <c r="CC402" s="133">
        <f t="shared" si="4500"/>
        <v>-30327.299999999996</v>
      </c>
      <c r="CD402" s="133">
        <f t="shared" si="4500"/>
        <v>-34832.491666666661</v>
      </c>
      <c r="CE402" s="133">
        <f t="shared" si="4500"/>
        <v>-39337.683333333327</v>
      </c>
      <c r="CF402" s="133">
        <f t="shared" si="4500"/>
        <v>-43842.874999999993</v>
      </c>
      <c r="CG402" s="133">
        <f t="shared" si="4500"/>
        <v>-48348.066666666658</v>
      </c>
      <c r="CH402" s="133">
        <f t="shared" si="4500"/>
        <v>-52853.258333333324</v>
      </c>
      <c r="CI402" s="133">
        <f t="shared" si="4500"/>
        <v>-57358.44999999999</v>
      </c>
      <c r="CJ402" s="133">
        <f t="shared" si="4500"/>
        <v>-61863.641666666656</v>
      </c>
      <c r="CK402" s="133">
        <f t="shared" si="4500"/>
        <v>-66368.833333333328</v>
      </c>
      <c r="CL402" s="133">
        <f t="shared" si="4500"/>
        <v>-70874.024999999994</v>
      </c>
      <c r="CM402" s="133">
        <f t="shared" si="4500"/>
        <v>-75379.21666666666</v>
      </c>
      <c r="CN402" s="133">
        <f t="shared" si="4500"/>
        <v>-79884.408333333326</v>
      </c>
      <c r="CO402" s="133">
        <f t="shared" si="4500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83"/>
        <v>0</v>
      </c>
      <c r="DB402" s="4">
        <f t="shared" si="4484"/>
        <v>0</v>
      </c>
      <c r="DC402" s="4">
        <f t="shared" si="4485"/>
        <v>0</v>
      </c>
      <c r="DD402" s="136">
        <f t="shared" si="4486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501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 t="shared" si="4448"/>
        <v>0</v>
      </c>
      <c r="FS402" s="150" t="b">
        <f t="shared" si="4449"/>
        <v>0</v>
      </c>
      <c r="FT402" s="150" t="b">
        <f t="shared" si="4450"/>
        <v>0</v>
      </c>
      <c r="FU402" s="150" t="b">
        <f t="shared" si="4451"/>
        <v>0</v>
      </c>
      <c r="FV402" s="150" t="b">
        <f t="shared" si="4452"/>
        <v>1</v>
      </c>
      <c r="FW402" s="104" t="b">
        <f t="shared" si="4472"/>
        <v>0</v>
      </c>
      <c r="FX402" s="150" t="b">
        <f t="shared" ref="FX402:FX408" si="4502">EXACT(FQ402,BI402)</f>
        <v>1</v>
      </c>
      <c r="FY402" s="104" t="s">
        <v>368</v>
      </c>
      <c r="FZ402" s="104" t="b">
        <f t="shared" ref="FZ402:FZ408" si="4503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504">EXACT(GD402,C402)</f>
        <v>1</v>
      </c>
      <c r="GI402" s="151" t="b">
        <f t="shared" ref="GI402:GI408" si="4505">EXACT(GG402,G402)</f>
        <v>0</v>
      </c>
      <c r="GJ402" s="31" t="s">
        <v>203</v>
      </c>
    </row>
    <row r="403" spans="1:192" hidden="1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88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89"/>
        <v>0</v>
      </c>
      <c r="AF403" s="95">
        <f t="shared" si="4490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91"/>
        <v>138.04065924872418</v>
      </c>
      <c r="AO403" s="133" t="str">
        <f t="shared" si="4492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93"/>
        <v>0-05</v>
      </c>
      <c r="AW403" s="117">
        <f t="shared" si="4494"/>
        <v>0</v>
      </c>
      <c r="AX403" s="14"/>
      <c r="AY403" s="25">
        <f t="shared" si="4495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96"/>
        <v>0</v>
      </c>
      <c r="BG403" s="32">
        <v>0</v>
      </c>
      <c r="BH403" s="32">
        <f t="shared" si="4497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98"/>
        <v>4482.375</v>
      </c>
      <c r="BR403" s="95">
        <f t="shared" si="4499"/>
        <v>16882.669999999998</v>
      </c>
      <c r="BS403" s="133">
        <f t="shared" si="4478"/>
        <v>12062.159999999998</v>
      </c>
      <c r="BT403" s="133">
        <f t="shared" si="4478"/>
        <v>7745.0999999999976</v>
      </c>
      <c r="BU403" s="133">
        <f t="shared" si="4478"/>
        <v>3104.3699999999981</v>
      </c>
      <c r="BV403" s="133">
        <f t="shared" si="4478"/>
        <v>-1792.6700000000019</v>
      </c>
      <c r="BW403" s="133">
        <f t="shared" si="4478"/>
        <v>-6269.2500000000018</v>
      </c>
      <c r="BX403" s="133">
        <f t="shared" si="4500"/>
        <v>-10751.625000000002</v>
      </c>
      <c r="BY403" s="133">
        <f t="shared" si="4500"/>
        <v>-15234.000000000002</v>
      </c>
      <c r="BZ403" s="133">
        <f t="shared" si="4500"/>
        <v>-19716.375</v>
      </c>
      <c r="CA403" s="133">
        <f t="shared" si="4500"/>
        <v>-24198.75</v>
      </c>
      <c r="CB403" s="133">
        <f t="shared" si="4500"/>
        <v>-28681.125</v>
      </c>
      <c r="CC403" s="133">
        <f t="shared" si="4500"/>
        <v>-33163.5</v>
      </c>
      <c r="CD403" s="133">
        <f t="shared" si="4500"/>
        <v>-37645.875</v>
      </c>
      <c r="CE403" s="133">
        <f t="shared" si="4500"/>
        <v>-42128.25</v>
      </c>
      <c r="CF403" s="133">
        <f t="shared" si="4500"/>
        <v>-46610.625</v>
      </c>
      <c r="CG403" s="133">
        <f t="shared" si="4500"/>
        <v>-51093</v>
      </c>
      <c r="CH403" s="133">
        <f t="shared" si="4500"/>
        <v>-55575.375</v>
      </c>
      <c r="CI403" s="133">
        <f t="shared" si="4500"/>
        <v>-60057.75</v>
      </c>
      <c r="CJ403" s="133">
        <f t="shared" si="4500"/>
        <v>-64540.125</v>
      </c>
      <c r="CK403" s="133">
        <f t="shared" si="4500"/>
        <v>-69022.5</v>
      </c>
      <c r="CL403" s="133">
        <f t="shared" si="4500"/>
        <v>-73504.875</v>
      </c>
      <c r="CM403" s="133">
        <f t="shared" si="4500"/>
        <v>-77987.25</v>
      </c>
      <c r="CN403" s="133">
        <f t="shared" si="4500"/>
        <v>-82469.625</v>
      </c>
      <c r="CO403" s="133">
        <f t="shared" si="4500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83"/>
        <v>0</v>
      </c>
      <c r="DB403" s="4">
        <f t="shared" si="4484"/>
        <v>0</v>
      </c>
      <c r="DC403" s="4">
        <f t="shared" si="4485"/>
        <v>0</v>
      </c>
      <c r="DD403" s="136">
        <f t="shared" si="4486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506">BK403*$FH403</f>
        <v>576318.81999999995</v>
      </c>
      <c r="EQ403" s="62">
        <f t="shared" si="4506"/>
        <v>742358.54</v>
      </c>
      <c r="ER403" s="62">
        <f t="shared" si="4506"/>
        <v>664827.24000000011</v>
      </c>
      <c r="ES403" s="62">
        <f t="shared" si="4506"/>
        <v>714672.41999999993</v>
      </c>
      <c r="ET403" s="62">
        <f t="shared" si="4506"/>
        <v>754144.16</v>
      </c>
      <c r="EU403" s="62">
        <f t="shared" si="4506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501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 t="shared" si="4448"/>
        <v>0</v>
      </c>
      <c r="FS403" s="103" t="b">
        <f t="shared" si="4449"/>
        <v>0</v>
      </c>
      <c r="FT403" s="103" t="b">
        <f t="shared" si="4450"/>
        <v>0</v>
      </c>
      <c r="FU403" s="103" t="b">
        <f t="shared" si="4451"/>
        <v>0</v>
      </c>
      <c r="FV403" s="103" t="b">
        <f t="shared" si="4452"/>
        <v>1</v>
      </c>
      <c r="FW403" s="104" t="b">
        <f t="shared" si="4472"/>
        <v>0</v>
      </c>
      <c r="FX403" s="120" t="b">
        <f t="shared" si="4502"/>
        <v>1</v>
      </c>
      <c r="FY403" s="104" t="s">
        <v>368</v>
      </c>
      <c r="FZ403" s="104" t="b">
        <f t="shared" si="4503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504"/>
        <v>1</v>
      </c>
      <c r="GI403" s="8" t="b">
        <f t="shared" si="4505"/>
        <v>0</v>
      </c>
      <c r="GJ403" s="31" t="s">
        <v>203</v>
      </c>
    </row>
    <row r="404" spans="1:192" ht="60" hidden="1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88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89"/>
        <v>0</v>
      </c>
      <c r="AF404" s="95">
        <f t="shared" si="4490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91"/>
        <v>8149.3060628195763</v>
      </c>
      <c r="AO404" s="133" t="str">
        <f t="shared" si="4492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93"/>
        <v>0-25 более 24</v>
      </c>
      <c r="AW404" s="117">
        <f t="shared" si="4494"/>
        <v>227500</v>
      </c>
      <c r="AX404" s="14"/>
      <c r="AY404" s="25">
        <f t="shared" si="4495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96"/>
        <v>0</v>
      </c>
      <c r="BG404" s="32">
        <v>0</v>
      </c>
      <c r="BH404" s="32">
        <f t="shared" si="4497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98"/>
        <v>22.816666666666666</v>
      </c>
      <c r="BR404" s="95">
        <f t="shared" si="4499"/>
        <v>3090.78</v>
      </c>
      <c r="BS404" s="133">
        <f t="shared" si="4478"/>
        <v>3067.9900000000002</v>
      </c>
      <c r="BT404" s="133">
        <f t="shared" si="4478"/>
        <v>3043.63</v>
      </c>
      <c r="BU404" s="133">
        <f t="shared" si="4478"/>
        <v>3019.09</v>
      </c>
      <c r="BV404" s="133">
        <f t="shared" si="4478"/>
        <v>2995.53</v>
      </c>
      <c r="BW404" s="133">
        <f t="shared" si="4478"/>
        <v>2973.1000000000004</v>
      </c>
      <c r="BX404" s="133">
        <f t="shared" si="4500"/>
        <v>2950.2833333333338</v>
      </c>
      <c r="BY404" s="133">
        <f t="shared" si="4500"/>
        <v>2927.4666666666672</v>
      </c>
      <c r="BZ404" s="133">
        <f t="shared" si="4500"/>
        <v>2904.6500000000005</v>
      </c>
      <c r="CA404" s="133">
        <f t="shared" si="4500"/>
        <v>2881.8333333333339</v>
      </c>
      <c r="CB404" s="133">
        <f t="shared" si="4500"/>
        <v>2859.0166666666673</v>
      </c>
      <c r="CC404" s="133">
        <f t="shared" si="4500"/>
        <v>2836.2000000000007</v>
      </c>
      <c r="CD404" s="133">
        <f t="shared" si="4500"/>
        <v>2813.3833333333341</v>
      </c>
      <c r="CE404" s="133">
        <f t="shared" si="4500"/>
        <v>2790.5666666666675</v>
      </c>
      <c r="CF404" s="133">
        <f t="shared" si="4500"/>
        <v>2767.7500000000009</v>
      </c>
      <c r="CG404" s="133">
        <f t="shared" si="4500"/>
        <v>2744.9333333333343</v>
      </c>
      <c r="CH404" s="133">
        <f t="shared" si="4500"/>
        <v>2722.1166666666677</v>
      </c>
      <c r="CI404" s="133">
        <f t="shared" si="4500"/>
        <v>2699.3000000000011</v>
      </c>
      <c r="CJ404" s="133">
        <f t="shared" si="4500"/>
        <v>2676.4833333333345</v>
      </c>
      <c r="CK404" s="133">
        <f t="shared" si="4500"/>
        <v>2653.6666666666679</v>
      </c>
      <c r="CL404" s="133">
        <f t="shared" si="4500"/>
        <v>2630.8500000000013</v>
      </c>
      <c r="CM404" s="133">
        <f t="shared" si="4500"/>
        <v>2608.0333333333347</v>
      </c>
      <c r="CN404" s="133">
        <f t="shared" si="4500"/>
        <v>2585.2166666666681</v>
      </c>
      <c r="CO404" s="133">
        <f t="shared" si="4500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83"/>
        <v>0</v>
      </c>
      <c r="DB404" s="4">
        <f t="shared" si="4484"/>
        <v>0</v>
      </c>
      <c r="DC404" s="4">
        <f t="shared" si="4485"/>
        <v>0</v>
      </c>
      <c r="DD404" s="136">
        <f t="shared" si="4486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506"/>
        <v>2690.7999999999997</v>
      </c>
      <c r="EQ404" s="62">
        <f t="shared" si="4506"/>
        <v>3190.6</v>
      </c>
      <c r="ER404" s="62">
        <f t="shared" si="4506"/>
        <v>3410.4</v>
      </c>
      <c r="ES404" s="62">
        <f t="shared" si="4506"/>
        <v>3435.6</v>
      </c>
      <c r="ET404" s="62">
        <f t="shared" si="4506"/>
        <v>3298.3999999999996</v>
      </c>
      <c r="EU404" s="62">
        <f t="shared" si="4506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501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 t="shared" si="4448"/>
        <v>1</v>
      </c>
      <c r="FS404" s="103" t="b">
        <f t="shared" si="4449"/>
        <v>1</v>
      </c>
      <c r="FT404" s="103" t="b">
        <f t="shared" si="4450"/>
        <v>0</v>
      </c>
      <c r="FU404" s="103" t="b">
        <f t="shared" si="4451"/>
        <v>0</v>
      </c>
      <c r="FV404" s="103" t="b">
        <f t="shared" si="4452"/>
        <v>1</v>
      </c>
      <c r="FW404" s="104" t="b">
        <f t="shared" si="4472"/>
        <v>0</v>
      </c>
      <c r="FX404" s="120" t="b">
        <f t="shared" si="4502"/>
        <v>1</v>
      </c>
      <c r="FY404" s="104" t="s">
        <v>368</v>
      </c>
      <c r="FZ404" s="104" t="b">
        <f t="shared" si="4503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504"/>
        <v>1</v>
      </c>
      <c r="GI404" s="8" t="b">
        <f t="shared" si="4505"/>
        <v>0</v>
      </c>
      <c r="GJ404" s="31" t="s">
        <v>203</v>
      </c>
    </row>
    <row r="405" spans="1:192" hidden="1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88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89"/>
        <v>0</v>
      </c>
      <c r="AF405" s="95">
        <f t="shared" si="4490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91"/>
        <v>24.40384812860842</v>
      </c>
      <c r="AO405" s="130" t="str">
        <f t="shared" si="4492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93"/>
        <v>0-02</v>
      </c>
      <c r="AW405" s="149">
        <f t="shared" si="4494"/>
        <v>0</v>
      </c>
      <c r="AX405" s="144"/>
      <c r="AY405" s="146">
        <f t="shared" si="4495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96"/>
        <v>0</v>
      </c>
      <c r="BG405" s="32">
        <v>0</v>
      </c>
      <c r="BH405" s="32">
        <f t="shared" si="4497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98"/>
        <v>24031.465</v>
      </c>
      <c r="BR405" s="95">
        <f t="shared" si="4499"/>
        <v>14806.927042966781</v>
      </c>
      <c r="BS405" s="133">
        <f t="shared" si="4478"/>
        <v>-7500.8929570332184</v>
      </c>
      <c r="BT405" s="133">
        <f t="shared" si="4478"/>
        <v>-33288.732957033222</v>
      </c>
      <c r="BU405" s="133">
        <f t="shared" si="4478"/>
        <v>-60305.872957033222</v>
      </c>
      <c r="BV405" s="133">
        <f t="shared" si="4478"/>
        <v>-85103.282957033225</v>
      </c>
      <c r="BW405" s="133">
        <f t="shared" si="4478"/>
        <v>-109652.03295703323</v>
      </c>
      <c r="BX405" s="133">
        <f t="shared" ref="BX405:CO408" si="4507">BW405-$BQ405</f>
        <v>-133683.49795703322</v>
      </c>
      <c r="BY405" s="133">
        <f t="shared" si="4507"/>
        <v>-157714.96295703322</v>
      </c>
      <c r="BZ405" s="133">
        <f t="shared" si="4507"/>
        <v>-181746.42795703321</v>
      </c>
      <c r="CA405" s="133">
        <f t="shared" si="4507"/>
        <v>-205777.89295703321</v>
      </c>
      <c r="CB405" s="133">
        <f t="shared" si="4507"/>
        <v>-229809.35795703321</v>
      </c>
      <c r="CC405" s="133">
        <f t="shared" si="4507"/>
        <v>-253840.8229570332</v>
      </c>
      <c r="CD405" s="133">
        <f t="shared" si="4507"/>
        <v>-277872.2879570332</v>
      </c>
      <c r="CE405" s="133">
        <f t="shared" si="4507"/>
        <v>-301903.75295703323</v>
      </c>
      <c r="CF405" s="133">
        <f t="shared" si="4507"/>
        <v>-325935.21795703325</v>
      </c>
      <c r="CG405" s="133">
        <f t="shared" si="4507"/>
        <v>-349966.68295703328</v>
      </c>
      <c r="CH405" s="133">
        <f t="shared" si="4507"/>
        <v>-373998.1479570333</v>
      </c>
      <c r="CI405" s="133">
        <f t="shared" si="4507"/>
        <v>-398029.61295703333</v>
      </c>
      <c r="CJ405" s="133">
        <f t="shared" si="4507"/>
        <v>-422061.07795703335</v>
      </c>
      <c r="CK405" s="133">
        <f t="shared" si="4507"/>
        <v>-446092.54295703338</v>
      </c>
      <c r="CL405" s="133">
        <f t="shared" si="4507"/>
        <v>-470124.00795703341</v>
      </c>
      <c r="CM405" s="133">
        <f t="shared" si="4507"/>
        <v>-494155.47295703343</v>
      </c>
      <c r="CN405" s="133">
        <f t="shared" si="4507"/>
        <v>-518186.93795703346</v>
      </c>
      <c r="CO405" s="133">
        <f t="shared" si="4507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83"/>
        <v>0</v>
      </c>
      <c r="DB405" s="4">
        <f t="shared" si="4484"/>
        <v>0</v>
      </c>
      <c r="DC405" s="4">
        <f t="shared" si="4485"/>
        <v>0</v>
      </c>
      <c r="DD405" s="136">
        <f t="shared" si="4486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501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 t="shared" si="4448"/>
        <v>0</v>
      </c>
      <c r="FS405" s="150" t="b">
        <f t="shared" si="4449"/>
        <v>0</v>
      </c>
      <c r="FT405" s="150" t="b">
        <f t="shared" si="4450"/>
        <v>0</v>
      </c>
      <c r="FU405" s="150" t="b">
        <f t="shared" si="4451"/>
        <v>0</v>
      </c>
      <c r="FV405" s="150" t="b">
        <f t="shared" si="4452"/>
        <v>1</v>
      </c>
      <c r="FW405" s="104" t="b">
        <f t="shared" si="4472"/>
        <v>0</v>
      </c>
      <c r="FX405" s="150" t="b">
        <f t="shared" si="4502"/>
        <v>1</v>
      </c>
      <c r="FY405" s="104" t="s">
        <v>368</v>
      </c>
      <c r="FZ405" s="104" t="b">
        <f t="shared" si="4503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504"/>
        <v>1</v>
      </c>
      <c r="GI405" s="151" t="b">
        <f t="shared" si="4505"/>
        <v>0</v>
      </c>
      <c r="GJ405" s="31" t="s">
        <v>203</v>
      </c>
    </row>
    <row r="406" spans="1:192" hidden="1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88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89"/>
        <v>0</v>
      </c>
      <c r="AF406" s="95">
        <f t="shared" si="4490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91"/>
        <v>24.40384812860842</v>
      </c>
      <c r="AO406" s="133" t="str">
        <f t="shared" si="4492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93"/>
        <v>0-02</v>
      </c>
      <c r="AW406" s="117">
        <f t="shared" si="4494"/>
        <v>0</v>
      </c>
      <c r="AX406" s="14"/>
      <c r="AY406" s="25">
        <f t="shared" si="4495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96"/>
        <v>0</v>
      </c>
      <c r="BG406" s="32">
        <v>0</v>
      </c>
      <c r="BH406" s="32">
        <f t="shared" si="4497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98"/>
        <v>24031.465</v>
      </c>
      <c r="BR406" s="95">
        <f t="shared" si="4499"/>
        <v>14806.927042966781</v>
      </c>
      <c r="BS406" s="133">
        <f t="shared" si="4478"/>
        <v>-7500.8929570332184</v>
      </c>
      <c r="BT406" s="133">
        <f t="shared" si="4478"/>
        <v>-33288.732957033222</v>
      </c>
      <c r="BU406" s="133">
        <f t="shared" si="4478"/>
        <v>-60305.872957033222</v>
      </c>
      <c r="BV406" s="133">
        <f t="shared" si="4478"/>
        <v>-85103.282957033225</v>
      </c>
      <c r="BW406" s="133">
        <f t="shared" si="4478"/>
        <v>-109652.03295703323</v>
      </c>
      <c r="BX406" s="133">
        <f t="shared" si="4507"/>
        <v>-133683.49795703322</v>
      </c>
      <c r="BY406" s="133">
        <f t="shared" si="4507"/>
        <v>-157714.96295703322</v>
      </c>
      <c r="BZ406" s="133">
        <f t="shared" si="4507"/>
        <v>-181746.42795703321</v>
      </c>
      <c r="CA406" s="133">
        <f t="shared" si="4507"/>
        <v>-205777.89295703321</v>
      </c>
      <c r="CB406" s="133">
        <f t="shared" si="4507"/>
        <v>-229809.35795703321</v>
      </c>
      <c r="CC406" s="133">
        <f t="shared" si="4507"/>
        <v>-253840.8229570332</v>
      </c>
      <c r="CD406" s="133">
        <f t="shared" si="4507"/>
        <v>-277872.2879570332</v>
      </c>
      <c r="CE406" s="133">
        <f t="shared" si="4507"/>
        <v>-301903.75295703323</v>
      </c>
      <c r="CF406" s="133">
        <f t="shared" si="4507"/>
        <v>-325935.21795703325</v>
      </c>
      <c r="CG406" s="133">
        <f t="shared" si="4507"/>
        <v>-349966.68295703328</v>
      </c>
      <c r="CH406" s="133">
        <f t="shared" si="4507"/>
        <v>-373998.1479570333</v>
      </c>
      <c r="CI406" s="133">
        <f t="shared" si="4507"/>
        <v>-398029.61295703333</v>
      </c>
      <c r="CJ406" s="133">
        <f t="shared" si="4507"/>
        <v>-422061.07795703335</v>
      </c>
      <c r="CK406" s="133">
        <f t="shared" si="4507"/>
        <v>-446092.54295703338</v>
      </c>
      <c r="CL406" s="133">
        <f t="shared" si="4507"/>
        <v>-470124.00795703341</v>
      </c>
      <c r="CM406" s="133">
        <f t="shared" si="4507"/>
        <v>-494155.47295703343</v>
      </c>
      <c r="CN406" s="133">
        <f t="shared" si="4507"/>
        <v>-518186.93795703346</v>
      </c>
      <c r="CO406" s="133">
        <f t="shared" si="4507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83"/>
        <v>0</v>
      </c>
      <c r="DB406" s="4">
        <f t="shared" si="4484"/>
        <v>0</v>
      </c>
      <c r="DC406" s="4">
        <f t="shared" si="4485"/>
        <v>0</v>
      </c>
      <c r="DD406" s="136">
        <f t="shared" si="4486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508">BK406*$FH406</f>
        <v>2967958.3269000002</v>
      </c>
      <c r="EQ406" s="62">
        <f t="shared" si="4508"/>
        <v>3355765.3626000001</v>
      </c>
      <c r="ER406" s="62">
        <f t="shared" si="4508"/>
        <v>3879264.7712000003</v>
      </c>
      <c r="ES406" s="62">
        <f t="shared" si="4508"/>
        <v>4064188.3702000002</v>
      </c>
      <c r="ET406" s="62">
        <f t="shared" si="4508"/>
        <v>3730274.3863000004</v>
      </c>
      <c r="EU406" s="62">
        <f t="shared" si="4508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501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 t="shared" si="4448"/>
        <v>1</v>
      </c>
      <c r="FS406" s="103" t="b">
        <f t="shared" si="4449"/>
        <v>1</v>
      </c>
      <c r="FT406" s="103" t="b">
        <f t="shared" si="4450"/>
        <v>0</v>
      </c>
      <c r="FU406" s="103" t="b">
        <f t="shared" si="4451"/>
        <v>0</v>
      </c>
      <c r="FV406" s="103" t="b">
        <f t="shared" si="4452"/>
        <v>1</v>
      </c>
      <c r="FW406" s="104" t="b">
        <f t="shared" si="4472"/>
        <v>0</v>
      </c>
      <c r="FX406" s="120" t="b">
        <f t="shared" si="4502"/>
        <v>1</v>
      </c>
      <c r="FY406" s="104" t="s">
        <v>368</v>
      </c>
      <c r="FZ406" s="104" t="b">
        <f t="shared" si="4503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504"/>
        <v>1</v>
      </c>
      <c r="GI406" s="8" t="b">
        <f t="shared" si="4505"/>
        <v>0</v>
      </c>
      <c r="GJ406" s="31" t="s">
        <v>203</v>
      </c>
    </row>
    <row r="407" spans="1:192" hidden="1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88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89"/>
        <v>0</v>
      </c>
      <c r="AF407" s="95">
        <f t="shared" si="4490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91"/>
        <v>20.823790096251582</v>
      </c>
      <c r="AO407" s="130" t="str">
        <f t="shared" si="4492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93"/>
        <v>0-02</v>
      </c>
      <c r="AW407" s="149">
        <f t="shared" si="4494"/>
        <v>0</v>
      </c>
      <c r="AX407" s="144"/>
      <c r="AY407" s="146">
        <f t="shared" si="4495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96"/>
        <v>0</v>
      </c>
      <c r="BG407" s="32">
        <v>0</v>
      </c>
      <c r="BH407" s="32">
        <f t="shared" si="4497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98"/>
        <v>13825.238333333333</v>
      </c>
      <c r="BR407" s="95">
        <f t="shared" si="4499"/>
        <v>7679.42</v>
      </c>
      <c r="BS407" s="133">
        <f t="shared" si="4478"/>
        <v>-10113.1</v>
      </c>
      <c r="BT407" s="133">
        <f t="shared" si="4478"/>
        <v>-25476.54</v>
      </c>
      <c r="BU407" s="133">
        <f t="shared" si="4478"/>
        <v>-37889.240000000005</v>
      </c>
      <c r="BV407" s="133">
        <f t="shared" si="4478"/>
        <v>-53314.750000000007</v>
      </c>
      <c r="BW407" s="133">
        <f t="shared" si="4478"/>
        <v>-65316.430000000008</v>
      </c>
      <c r="BX407" s="133">
        <f t="shared" si="4507"/>
        <v>-79141.668333333335</v>
      </c>
      <c r="BY407" s="133">
        <f t="shared" si="4507"/>
        <v>-92966.906666666662</v>
      </c>
      <c r="BZ407" s="133">
        <f t="shared" si="4507"/>
        <v>-106792.14499999999</v>
      </c>
      <c r="CA407" s="133">
        <f t="shared" si="4507"/>
        <v>-120617.38333333332</v>
      </c>
      <c r="CB407" s="133">
        <f t="shared" si="4507"/>
        <v>-134442.62166666664</v>
      </c>
      <c r="CC407" s="133">
        <f t="shared" si="4507"/>
        <v>-148267.85999999999</v>
      </c>
      <c r="CD407" s="133">
        <f t="shared" si="4507"/>
        <v>-162093.09833333333</v>
      </c>
      <c r="CE407" s="133">
        <f t="shared" si="4507"/>
        <v>-175918.33666666667</v>
      </c>
      <c r="CF407" s="133">
        <f t="shared" si="4507"/>
        <v>-189743.57500000001</v>
      </c>
      <c r="CG407" s="133">
        <f t="shared" si="4507"/>
        <v>-203568.81333333335</v>
      </c>
      <c r="CH407" s="133">
        <f t="shared" si="4507"/>
        <v>-217394.0516666667</v>
      </c>
      <c r="CI407" s="133">
        <f t="shared" si="4507"/>
        <v>-231219.29000000004</v>
      </c>
      <c r="CJ407" s="133">
        <f t="shared" si="4507"/>
        <v>-245044.52833333338</v>
      </c>
      <c r="CK407" s="133">
        <f t="shared" si="4507"/>
        <v>-258869.76666666672</v>
      </c>
      <c r="CL407" s="133">
        <f t="shared" si="4507"/>
        <v>-272695.00500000006</v>
      </c>
      <c r="CM407" s="133">
        <f t="shared" si="4507"/>
        <v>-286520.2433333334</v>
      </c>
      <c r="CN407" s="133">
        <f t="shared" si="4507"/>
        <v>-300345.48166666675</v>
      </c>
      <c r="CO407" s="133">
        <f t="shared" si="4507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83"/>
        <v>0</v>
      </c>
      <c r="DB407" s="4">
        <f t="shared" si="4484"/>
        <v>0</v>
      </c>
      <c r="DC407" s="4">
        <f t="shared" si="4485"/>
        <v>0</v>
      </c>
      <c r="DD407" s="136">
        <f t="shared" si="4486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501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 t="shared" si="4448"/>
        <v>0</v>
      </c>
      <c r="FS407" s="150" t="b">
        <f t="shared" si="4449"/>
        <v>0</v>
      </c>
      <c r="FT407" s="150" t="b">
        <f t="shared" si="4450"/>
        <v>0</v>
      </c>
      <c r="FU407" s="150" t="b">
        <f t="shared" si="4451"/>
        <v>0</v>
      </c>
      <c r="FV407" s="150" t="b">
        <f t="shared" si="4452"/>
        <v>1</v>
      </c>
      <c r="FW407" s="104" t="b">
        <f t="shared" si="4472"/>
        <v>0</v>
      </c>
      <c r="FX407" s="150" t="b">
        <f t="shared" si="4502"/>
        <v>1</v>
      </c>
      <c r="FY407" s="104" t="s">
        <v>368</v>
      </c>
      <c r="FZ407" s="104" t="b">
        <f t="shared" si="4503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504"/>
        <v>1</v>
      </c>
      <c r="GI407" s="151" t="b">
        <f t="shared" si="4505"/>
        <v>0</v>
      </c>
      <c r="GJ407" s="31" t="s">
        <v>203</v>
      </c>
    </row>
    <row r="408" spans="1:192" hidden="1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88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89"/>
        <v>0</v>
      </c>
      <c r="AF408" s="95">
        <f t="shared" si="4490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91"/>
        <v>20.823790096251582</v>
      </c>
      <c r="AO408" s="133" t="str">
        <f t="shared" si="4492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93"/>
        <v>0-02</v>
      </c>
      <c r="AW408" s="117">
        <f t="shared" si="4494"/>
        <v>0</v>
      </c>
      <c r="AX408" s="14"/>
      <c r="AY408" s="25">
        <f t="shared" si="4495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96"/>
        <v>0</v>
      </c>
      <c r="BG408" s="32">
        <v>0</v>
      </c>
      <c r="BH408" s="32">
        <f t="shared" si="4497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98"/>
        <v>13825.238333333333</v>
      </c>
      <c r="BR408" s="95">
        <f t="shared" si="4499"/>
        <v>7679.42</v>
      </c>
      <c r="BS408" s="133">
        <f t="shared" si="4478"/>
        <v>-10113.1</v>
      </c>
      <c r="BT408" s="133">
        <f t="shared" si="4478"/>
        <v>-25476.54</v>
      </c>
      <c r="BU408" s="133">
        <f t="shared" si="4478"/>
        <v>-37889.240000000005</v>
      </c>
      <c r="BV408" s="133">
        <f t="shared" si="4478"/>
        <v>-53314.750000000007</v>
      </c>
      <c r="BW408" s="133">
        <f t="shared" si="4478"/>
        <v>-65316.430000000008</v>
      </c>
      <c r="BX408" s="133">
        <f t="shared" si="4507"/>
        <v>-79141.668333333335</v>
      </c>
      <c r="BY408" s="133">
        <f t="shared" si="4507"/>
        <v>-92966.906666666662</v>
      </c>
      <c r="BZ408" s="133">
        <f t="shared" si="4507"/>
        <v>-106792.14499999999</v>
      </c>
      <c r="CA408" s="133">
        <f t="shared" si="4507"/>
        <v>-120617.38333333332</v>
      </c>
      <c r="CB408" s="133">
        <f t="shared" si="4507"/>
        <v>-134442.62166666664</v>
      </c>
      <c r="CC408" s="133">
        <f t="shared" si="4507"/>
        <v>-148267.85999999999</v>
      </c>
      <c r="CD408" s="133">
        <f t="shared" si="4507"/>
        <v>-162093.09833333333</v>
      </c>
      <c r="CE408" s="133">
        <f t="shared" si="4507"/>
        <v>-175918.33666666667</v>
      </c>
      <c r="CF408" s="133">
        <f t="shared" si="4507"/>
        <v>-189743.57500000001</v>
      </c>
      <c r="CG408" s="133">
        <f t="shared" si="4507"/>
        <v>-203568.81333333335</v>
      </c>
      <c r="CH408" s="133">
        <f t="shared" si="4507"/>
        <v>-217394.0516666667</v>
      </c>
      <c r="CI408" s="133">
        <f t="shared" si="4507"/>
        <v>-231219.29000000004</v>
      </c>
      <c r="CJ408" s="133">
        <f t="shared" si="4507"/>
        <v>-245044.52833333338</v>
      </c>
      <c r="CK408" s="133">
        <f t="shared" si="4507"/>
        <v>-258869.76666666672</v>
      </c>
      <c r="CL408" s="133">
        <f t="shared" si="4507"/>
        <v>-272695.00500000006</v>
      </c>
      <c r="CM408" s="133">
        <f t="shared" si="4507"/>
        <v>-286520.2433333334</v>
      </c>
      <c r="CN408" s="133">
        <f t="shared" si="4507"/>
        <v>-300345.48166666675</v>
      </c>
      <c r="CO408" s="133">
        <f t="shared" si="4507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83"/>
        <v>0</v>
      </c>
      <c r="DB408" s="4">
        <f t="shared" si="4484"/>
        <v>0</v>
      </c>
      <c r="DC408" s="4">
        <f t="shared" si="4485"/>
        <v>0</v>
      </c>
      <c r="DD408" s="136">
        <f t="shared" si="4486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509">BK408*$FH408</f>
        <v>2642609.1551999999</v>
      </c>
      <c r="EQ408" s="62">
        <f t="shared" si="4509"/>
        <v>4722846.5088</v>
      </c>
      <c r="ER408" s="62">
        <f t="shared" si="4509"/>
        <v>4078071.5136000002</v>
      </c>
      <c r="ES408" s="62">
        <f t="shared" si="4509"/>
        <v>3294827.088</v>
      </c>
      <c r="ET408" s="62">
        <f t="shared" si="4509"/>
        <v>4094547.3744000001</v>
      </c>
      <c r="EU408" s="62">
        <f t="shared" si="4509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501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 t="shared" si="4448"/>
        <v>1</v>
      </c>
      <c r="FS408" s="103" t="b">
        <f t="shared" si="4449"/>
        <v>1</v>
      </c>
      <c r="FT408" s="103" t="b">
        <f t="shared" si="4450"/>
        <v>0</v>
      </c>
      <c r="FU408" s="103" t="b">
        <f t="shared" si="4451"/>
        <v>0</v>
      </c>
      <c r="FV408" s="103" t="b">
        <f t="shared" si="4452"/>
        <v>1</v>
      </c>
      <c r="FW408" s="104" t="b">
        <f t="shared" si="4472"/>
        <v>0</v>
      </c>
      <c r="FX408" s="120" t="b">
        <f t="shared" si="4502"/>
        <v>1</v>
      </c>
      <c r="FY408" s="104" t="s">
        <v>368</v>
      </c>
      <c r="FZ408" s="104" t="b">
        <f t="shared" si="4503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504"/>
        <v>1</v>
      </c>
      <c r="GI408" s="8" t="b">
        <f t="shared" si="4505"/>
        <v>0</v>
      </c>
      <c r="GJ408" s="31" t="s">
        <v>203</v>
      </c>
    </row>
    <row r="409" spans="1:192" hidden="1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510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511">AA409*FH409</f>
        <v>0</v>
      </c>
      <c r="AF409" s="95">
        <f t="shared" ref="AF409:AF411" si="4512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513">IFERROR(S409/BQ409*30,"нет оборота")</f>
        <v>23.421411670477099</v>
      </c>
      <c r="AO409" s="130" t="str">
        <f t="shared" ref="AO409:AO411" si="4514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515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516">IF(AT409="Да",W409,0)</f>
        <v>0</v>
      </c>
      <c r="AX409" s="144"/>
      <c r="AY409" s="146">
        <f t="shared" ref="AY409:AY411" si="4517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518">BE409*FH409</f>
        <v>0</v>
      </c>
      <c r="BG409" s="32">
        <v>0</v>
      </c>
      <c r="BH409" s="32">
        <f t="shared" ref="BH409:BH411" si="4519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520">IF(COUNTIF(BK409:BP409,"&gt;0")=0,0,SUM(BK409:BP409)/COUNTIF(BK409:BP409,"&gt;0"))</f>
        <v>4576.708333333333</v>
      </c>
      <c r="BR409" s="95">
        <f t="shared" ref="BR409:BR411" si="4521">IF(OR(Q409=0,SUM(BK409:BP409)=0,V409&gt;Q409),V409-BK409,Q409-BK409)</f>
        <v>5494.93</v>
      </c>
      <c r="BS409" s="133">
        <f t="shared" ref="BS409:BW411" si="4522">BR409-BL409</f>
        <v>1062.6400000000003</v>
      </c>
      <c r="BT409" s="133">
        <f t="shared" si="4522"/>
        <v>-4063.8499999999995</v>
      </c>
      <c r="BU409" s="133">
        <f t="shared" si="4522"/>
        <v>-9390.119999999999</v>
      </c>
      <c r="BV409" s="133">
        <f t="shared" si="4522"/>
        <v>-13597.289999999999</v>
      </c>
      <c r="BW409" s="133">
        <f t="shared" si="4522"/>
        <v>-17314.25</v>
      </c>
      <c r="BX409" s="133">
        <f t="shared" ref="BX409:CO410" si="4523">BW409-$BQ409</f>
        <v>-21890.958333333332</v>
      </c>
      <c r="BY409" s="133">
        <f t="shared" si="4523"/>
        <v>-26467.666666666664</v>
      </c>
      <c r="BZ409" s="133">
        <f t="shared" si="4523"/>
        <v>-31044.374999999996</v>
      </c>
      <c r="CA409" s="133">
        <f t="shared" si="4523"/>
        <v>-35621.083333333328</v>
      </c>
      <c r="CB409" s="133">
        <f t="shared" si="4523"/>
        <v>-40197.791666666664</v>
      </c>
      <c r="CC409" s="133">
        <f t="shared" si="4523"/>
        <v>-44774.5</v>
      </c>
      <c r="CD409" s="133">
        <f t="shared" si="4523"/>
        <v>-49351.208333333336</v>
      </c>
      <c r="CE409" s="133">
        <f t="shared" si="4523"/>
        <v>-53927.916666666672</v>
      </c>
      <c r="CF409" s="133">
        <f t="shared" si="4523"/>
        <v>-58504.625000000007</v>
      </c>
      <c r="CG409" s="133">
        <f t="shared" si="4523"/>
        <v>-63081.333333333343</v>
      </c>
      <c r="CH409" s="133">
        <f t="shared" si="4523"/>
        <v>-67658.041666666672</v>
      </c>
      <c r="CI409" s="133">
        <f t="shared" si="4523"/>
        <v>-72234.75</v>
      </c>
      <c r="CJ409" s="133">
        <f t="shared" si="4523"/>
        <v>-76811.458333333328</v>
      </c>
      <c r="CK409" s="133">
        <f t="shared" si="4523"/>
        <v>-81388.166666666657</v>
      </c>
      <c r="CL409" s="133">
        <f t="shared" si="4523"/>
        <v>-85964.874999999985</v>
      </c>
      <c r="CM409" s="133">
        <f t="shared" si="4523"/>
        <v>-90541.583333333314</v>
      </c>
      <c r="CN409" s="133">
        <f t="shared" si="4523"/>
        <v>-95118.291666666642</v>
      </c>
      <c r="CO409" s="133">
        <f t="shared" si="4523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524">IFERROR(CZ409/CY409,0)</f>
        <v>0</v>
      </c>
      <c r="DB409" s="4">
        <f t="shared" ref="DB409:DB411" si="4525">CY409*FH409</f>
        <v>0</v>
      </c>
      <c r="DC409" s="4">
        <f t="shared" ref="DC409:DC411" si="4526">CZ409*FH409</f>
        <v>0</v>
      </c>
      <c r="DD409" s="136">
        <f t="shared" ref="DD409:DD411" si="4527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528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 t="shared" si="4448"/>
        <v>0</v>
      </c>
      <c r="FS409" s="150" t="b">
        <f t="shared" si="4449"/>
        <v>0</v>
      </c>
      <c r="FT409" s="150" t="b">
        <f t="shared" si="4450"/>
        <v>0</v>
      </c>
      <c r="FU409" s="150" t="b">
        <f t="shared" si="4451"/>
        <v>0</v>
      </c>
      <c r="FV409" s="150" t="b">
        <f t="shared" si="4452"/>
        <v>1</v>
      </c>
      <c r="FW409" s="104" t="b">
        <f t="shared" si="4472"/>
        <v>0</v>
      </c>
      <c r="FX409" s="150" t="b">
        <f t="shared" ref="FX409:FX411" si="4529">EXACT(FQ409,BI409)</f>
        <v>1</v>
      </c>
      <c r="FY409" s="104" t="s">
        <v>368</v>
      </c>
      <c r="FZ409" s="104" t="b">
        <f t="shared" ref="FZ409:FZ411" si="4530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531">EXACT(GD409,C409)</f>
        <v>1</v>
      </c>
      <c r="GI409" s="151" t="b">
        <f t="shared" ref="GI409:GI411" si="4532">EXACT(GG409,G409)</f>
        <v>0</v>
      </c>
      <c r="GJ409" s="31" t="s">
        <v>203</v>
      </c>
    </row>
    <row r="410" spans="1:192" ht="30" hidden="1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510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511"/>
        <v>0</v>
      </c>
      <c r="AF410" s="95">
        <f t="shared" si="4512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513"/>
        <v>18.130934714724013</v>
      </c>
      <c r="AO410" s="133" t="str">
        <f t="shared" si="4514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515"/>
        <v>0-01</v>
      </c>
      <c r="AW410" s="117">
        <f t="shared" si="4516"/>
        <v>0</v>
      </c>
      <c r="AX410" s="14"/>
      <c r="AY410" s="25">
        <f t="shared" si="4517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518"/>
        <v>0</v>
      </c>
      <c r="BG410" s="32">
        <v>0</v>
      </c>
      <c r="BH410" s="32">
        <f t="shared" si="4519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520"/>
        <v>4576.708333333333</v>
      </c>
      <c r="BR410" s="95">
        <f t="shared" si="4521"/>
        <v>-648.06999999999971</v>
      </c>
      <c r="BS410" s="133">
        <f t="shared" si="4522"/>
        <v>-5080.3599999999997</v>
      </c>
      <c r="BT410" s="133">
        <f t="shared" si="4522"/>
        <v>-10206.849999999999</v>
      </c>
      <c r="BU410" s="133">
        <f t="shared" si="4522"/>
        <v>-15533.119999999999</v>
      </c>
      <c r="BV410" s="133">
        <f t="shared" si="4522"/>
        <v>-19740.29</v>
      </c>
      <c r="BW410" s="133">
        <f t="shared" si="4522"/>
        <v>-23457.25</v>
      </c>
      <c r="BX410" s="133">
        <f t="shared" si="4523"/>
        <v>-28033.958333333332</v>
      </c>
      <c r="BY410" s="133">
        <f t="shared" si="4523"/>
        <v>-32610.666666666664</v>
      </c>
      <c r="BZ410" s="133">
        <f t="shared" si="4523"/>
        <v>-37187.375</v>
      </c>
      <c r="CA410" s="133">
        <f t="shared" ref="CA410:CO410" si="4533">BZ410-$BQ410</f>
        <v>-41764.083333333336</v>
      </c>
      <c r="CB410" s="133">
        <f t="shared" si="4533"/>
        <v>-46340.791666666672</v>
      </c>
      <c r="CC410" s="133">
        <f t="shared" si="4533"/>
        <v>-50917.500000000007</v>
      </c>
      <c r="CD410" s="133">
        <f t="shared" si="4533"/>
        <v>-55494.208333333343</v>
      </c>
      <c r="CE410" s="133">
        <f t="shared" si="4533"/>
        <v>-60070.916666666679</v>
      </c>
      <c r="CF410" s="133">
        <f t="shared" si="4533"/>
        <v>-64647.625000000015</v>
      </c>
      <c r="CG410" s="133">
        <f t="shared" si="4533"/>
        <v>-69224.333333333343</v>
      </c>
      <c r="CH410" s="133">
        <f t="shared" si="4533"/>
        <v>-73801.041666666672</v>
      </c>
      <c r="CI410" s="133">
        <f t="shared" si="4533"/>
        <v>-78377.75</v>
      </c>
      <c r="CJ410" s="133">
        <f t="shared" si="4533"/>
        <v>-82954.458333333328</v>
      </c>
      <c r="CK410" s="133">
        <f t="shared" si="4533"/>
        <v>-87531.166666666657</v>
      </c>
      <c r="CL410" s="133">
        <f t="shared" si="4533"/>
        <v>-92107.874999999985</v>
      </c>
      <c r="CM410" s="133">
        <f t="shared" si="4533"/>
        <v>-96684.583333333314</v>
      </c>
      <c r="CN410" s="133">
        <f t="shared" si="4533"/>
        <v>-101261.29166666664</v>
      </c>
      <c r="CO410" s="133">
        <f t="shared" si="4533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524"/>
        <v>0</v>
      </c>
      <c r="DB410" s="4">
        <f t="shared" si="4525"/>
        <v>0</v>
      </c>
      <c r="DC410" s="4">
        <f t="shared" si="4526"/>
        <v>0</v>
      </c>
      <c r="DD410" s="136">
        <f t="shared" si="4527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534">BK410*$FH410</f>
        <v>1810708.0617</v>
      </c>
      <c r="EQ410" s="62">
        <f t="shared" si="4534"/>
        <v>1725534.8199</v>
      </c>
      <c r="ER410" s="62">
        <f t="shared" si="4534"/>
        <v>1995793.8218999999</v>
      </c>
      <c r="ES410" s="62">
        <f t="shared" si="4534"/>
        <v>2073570.1737000002</v>
      </c>
      <c r="ET410" s="62">
        <f t="shared" si="4534"/>
        <v>1637893.3526999999</v>
      </c>
      <c r="EU410" s="62">
        <f t="shared" si="4534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528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 t="shared" si="4448"/>
        <v>1</v>
      </c>
      <c r="FS410" s="103" t="b">
        <f t="shared" si="4449"/>
        <v>1</v>
      </c>
      <c r="FT410" s="103" t="b">
        <f t="shared" si="4450"/>
        <v>0</v>
      </c>
      <c r="FU410" s="103" t="b">
        <f t="shared" si="4451"/>
        <v>0</v>
      </c>
      <c r="FV410" s="103" t="b">
        <f t="shared" si="4452"/>
        <v>1</v>
      </c>
      <c r="FW410" s="104" t="b">
        <f t="shared" si="4472"/>
        <v>0</v>
      </c>
      <c r="FX410" s="120" t="b">
        <f t="shared" si="4529"/>
        <v>1</v>
      </c>
      <c r="FY410" s="104" t="s">
        <v>368</v>
      </c>
      <c r="FZ410" s="104" t="b">
        <f t="shared" si="4530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531"/>
        <v>1</v>
      </c>
      <c r="GI410" s="8" t="b">
        <f t="shared" si="4532"/>
        <v>0</v>
      </c>
      <c r="GJ410" s="31" t="s">
        <v>203</v>
      </c>
    </row>
    <row r="411" spans="1:192" ht="30" hidden="1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510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511"/>
        <v>0</v>
      </c>
      <c r="AF411" s="95">
        <f t="shared" si="4512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513"/>
        <v>нет оборота</v>
      </c>
      <c r="AO411" s="133" t="str">
        <f t="shared" si="4514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515"/>
        <v>Нет планов</v>
      </c>
      <c r="AW411" s="117">
        <f t="shared" si="4516"/>
        <v>2344291.66</v>
      </c>
      <c r="AX411" s="14"/>
      <c r="AY411" s="25">
        <f t="shared" si="4517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518"/>
        <v>0</v>
      </c>
      <c r="BG411" s="32">
        <v>0</v>
      </c>
      <c r="BH411" s="32">
        <f t="shared" si="4519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520"/>
        <v>0</v>
      </c>
      <c r="BR411" s="95">
        <f t="shared" si="4521"/>
        <v>6143</v>
      </c>
      <c r="BS411" s="133">
        <f t="shared" si="4522"/>
        <v>6143</v>
      </c>
      <c r="BT411" s="133">
        <f t="shared" si="4522"/>
        <v>6143</v>
      </c>
      <c r="BU411" s="133">
        <f t="shared" si="4522"/>
        <v>6143</v>
      </c>
      <c r="BV411" s="133">
        <f t="shared" si="4522"/>
        <v>6143</v>
      </c>
      <c r="BW411" s="133">
        <f t="shared" si="4522"/>
        <v>6143</v>
      </c>
      <c r="BX411" s="133">
        <f t="shared" ref="BX411:CO411" si="4535">BW411-$BQ411</f>
        <v>6143</v>
      </c>
      <c r="BY411" s="133">
        <f t="shared" si="4535"/>
        <v>6143</v>
      </c>
      <c r="BZ411" s="133">
        <f t="shared" si="4535"/>
        <v>6143</v>
      </c>
      <c r="CA411" s="133">
        <f t="shared" si="4535"/>
        <v>6143</v>
      </c>
      <c r="CB411" s="133">
        <f t="shared" si="4535"/>
        <v>6143</v>
      </c>
      <c r="CC411" s="133">
        <f t="shared" si="4535"/>
        <v>6143</v>
      </c>
      <c r="CD411" s="133">
        <f t="shared" si="4535"/>
        <v>6143</v>
      </c>
      <c r="CE411" s="133">
        <f t="shared" si="4535"/>
        <v>6143</v>
      </c>
      <c r="CF411" s="133">
        <f t="shared" si="4535"/>
        <v>6143</v>
      </c>
      <c r="CG411" s="133">
        <f t="shared" si="4535"/>
        <v>6143</v>
      </c>
      <c r="CH411" s="133">
        <f t="shared" si="4535"/>
        <v>6143</v>
      </c>
      <c r="CI411" s="133">
        <f t="shared" si="4535"/>
        <v>6143</v>
      </c>
      <c r="CJ411" s="133">
        <f t="shared" si="4535"/>
        <v>6143</v>
      </c>
      <c r="CK411" s="133">
        <f t="shared" si="4535"/>
        <v>6143</v>
      </c>
      <c r="CL411" s="133">
        <f t="shared" si="4535"/>
        <v>6143</v>
      </c>
      <c r="CM411" s="133">
        <f t="shared" si="4535"/>
        <v>6143</v>
      </c>
      <c r="CN411" s="133">
        <f t="shared" si="4535"/>
        <v>6143</v>
      </c>
      <c r="CO411" s="133">
        <f t="shared" si="4535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524"/>
        <v>0</v>
      </c>
      <c r="DB411" s="4">
        <f t="shared" si="4525"/>
        <v>0</v>
      </c>
      <c r="DC411" s="4">
        <f t="shared" si="4526"/>
        <v>0</v>
      </c>
      <c r="DD411" s="136">
        <f t="shared" si="4527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534"/>
        <v>0</v>
      </c>
      <c r="EQ411" s="62">
        <f t="shared" si="4534"/>
        <v>0</v>
      </c>
      <c r="ER411" s="62">
        <f t="shared" si="4534"/>
        <v>0</v>
      </c>
      <c r="ES411" s="62">
        <f t="shared" si="4534"/>
        <v>0</v>
      </c>
      <c r="ET411" s="62">
        <f t="shared" si="4534"/>
        <v>0</v>
      </c>
      <c r="EU411" s="62">
        <f t="shared" si="4534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528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 t="shared" si="4448"/>
        <v>1</v>
      </c>
      <c r="FS411" s="103" t="b">
        <f t="shared" si="4449"/>
        <v>1</v>
      </c>
      <c r="FT411" s="103" t="b">
        <f t="shared" si="4450"/>
        <v>0</v>
      </c>
      <c r="FU411" s="103" t="b">
        <f t="shared" si="4451"/>
        <v>0</v>
      </c>
      <c r="FV411" s="103" t="b">
        <f t="shared" si="4452"/>
        <v>1</v>
      </c>
      <c r="FW411" s="104" t="b">
        <f t="shared" si="4472"/>
        <v>0</v>
      </c>
      <c r="FX411" s="120" t="b">
        <f t="shared" si="4529"/>
        <v>1</v>
      </c>
      <c r="FY411" s="104" t="s">
        <v>368</v>
      </c>
      <c r="FZ411" s="104" t="b">
        <f t="shared" si="4530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531"/>
        <v>1</v>
      </c>
      <c r="GI411" s="8" t="b">
        <f t="shared" si="4532"/>
        <v>0</v>
      </c>
      <c r="GJ411" s="31" t="s">
        <v>203</v>
      </c>
    </row>
    <row r="412" spans="1:192" hidden="1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536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537">AA412*FH412</f>
        <v>0</v>
      </c>
      <c r="AF412" s="95">
        <f t="shared" ref="AF412:AF420" si="4538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539">IFERROR(S412/BQ412*30,"нет оборота")</f>
        <v>48.279883435486262</v>
      </c>
      <c r="AO412" s="130" t="str">
        <f t="shared" ref="AO412:AO420" si="4540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541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42">IF(AT412="Да",W412,0)</f>
        <v>0</v>
      </c>
      <c r="AX412" s="144"/>
      <c r="AY412" s="146">
        <f t="shared" ref="AY412:AY420" si="4543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44">BE412*FH412</f>
        <v>0</v>
      </c>
      <c r="BG412" s="32">
        <v>0</v>
      </c>
      <c r="BH412" s="32">
        <f t="shared" ref="BH412:BH420" si="4545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46">IF(COUNTIF(BK412:BP412,"&gt;0")=0,0,SUM(BK412:BP412)/COUNTIF(BK412:BP412,"&gt;0"))</f>
        <v>854.64166666666654</v>
      </c>
      <c r="BR412" s="95">
        <f t="shared" ref="BR412:BR420" si="4547">IF(OR(Q412=0,SUM(BK412:BP412)=0,V412&gt;Q412),V412-BK412,Q412-BK412)</f>
        <v>758.31</v>
      </c>
      <c r="BS412" s="133">
        <f t="shared" ref="BS412:BW416" si="4548">BR412-BL412</f>
        <v>-31.840000000000032</v>
      </c>
      <c r="BT412" s="133">
        <f t="shared" si="4548"/>
        <v>-908.63</v>
      </c>
      <c r="BU412" s="133">
        <f t="shared" si="4548"/>
        <v>-1772.13</v>
      </c>
      <c r="BV412" s="133">
        <f t="shared" si="4548"/>
        <v>-2699.53</v>
      </c>
      <c r="BW412" s="133">
        <f t="shared" si="4548"/>
        <v>-3550.8500000000004</v>
      </c>
      <c r="BX412" s="133">
        <f t="shared" ref="BX412:CO413" si="4549">BW412-$BQ412</f>
        <v>-4405.4916666666668</v>
      </c>
      <c r="BY412" s="133">
        <f t="shared" si="4549"/>
        <v>-5260.1333333333332</v>
      </c>
      <c r="BZ412" s="133">
        <f t="shared" si="4549"/>
        <v>-6114.7749999999996</v>
      </c>
      <c r="CA412" s="133">
        <f t="shared" si="4549"/>
        <v>-6969.4166666666661</v>
      </c>
      <c r="CB412" s="133">
        <f t="shared" si="4549"/>
        <v>-7824.0583333333325</v>
      </c>
      <c r="CC412" s="133">
        <f t="shared" si="4549"/>
        <v>-8678.6999999999989</v>
      </c>
      <c r="CD412" s="133">
        <f t="shared" si="4549"/>
        <v>-9533.3416666666653</v>
      </c>
      <c r="CE412" s="133">
        <f t="shared" si="4549"/>
        <v>-10387.983333333332</v>
      </c>
      <c r="CF412" s="133">
        <f t="shared" si="4549"/>
        <v>-11242.624999999998</v>
      </c>
      <c r="CG412" s="133">
        <f t="shared" si="4549"/>
        <v>-12097.266666666665</v>
      </c>
      <c r="CH412" s="133">
        <f t="shared" si="4549"/>
        <v>-12951.908333333331</v>
      </c>
      <c r="CI412" s="133">
        <f t="shared" si="4549"/>
        <v>-13806.549999999997</v>
      </c>
      <c r="CJ412" s="133">
        <f t="shared" si="4549"/>
        <v>-14661.191666666664</v>
      </c>
      <c r="CK412" s="133">
        <f t="shared" si="4549"/>
        <v>-15515.83333333333</v>
      </c>
      <c r="CL412" s="133">
        <f t="shared" si="4549"/>
        <v>-16370.474999999997</v>
      </c>
      <c r="CM412" s="133">
        <f t="shared" si="4549"/>
        <v>-17225.116666666665</v>
      </c>
      <c r="CN412" s="133">
        <f t="shared" si="4549"/>
        <v>-18079.758333333331</v>
      </c>
      <c r="CO412" s="133">
        <f t="shared" si="4549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50">IFERROR(CZ412/CY412,0)</f>
        <v>0</v>
      </c>
      <c r="DB412" s="4">
        <f t="shared" ref="DB412:DB416" si="4551">CY412*FH412</f>
        <v>0</v>
      </c>
      <c r="DC412" s="4">
        <f t="shared" ref="DC412:DC416" si="4552">CZ412*FH412</f>
        <v>0</v>
      </c>
      <c r="DD412" s="136">
        <f t="shared" ref="DD412:DD416" si="4553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54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 t="shared" si="4448"/>
        <v>0</v>
      </c>
      <c r="FS412" s="150" t="b">
        <f t="shared" si="4449"/>
        <v>0</v>
      </c>
      <c r="FT412" s="150" t="b">
        <f t="shared" si="4450"/>
        <v>0</v>
      </c>
      <c r="FU412" s="150" t="b">
        <f t="shared" si="4451"/>
        <v>0</v>
      </c>
      <c r="FV412" s="150" t="b">
        <f t="shared" si="4452"/>
        <v>1</v>
      </c>
      <c r="FW412" s="104" t="b">
        <f t="shared" si="4472"/>
        <v>0</v>
      </c>
      <c r="FX412" s="150" t="b">
        <f t="shared" ref="FX412:FX421" si="4555">EXACT(FQ412,BI412)</f>
        <v>1</v>
      </c>
      <c r="FY412" s="104" t="s">
        <v>368</v>
      </c>
      <c r="FZ412" s="104" t="b">
        <f t="shared" ref="FZ412:FZ421" si="4556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57">EXACT(GD412,C412)</f>
        <v>1</v>
      </c>
      <c r="GI412" s="151" t="b">
        <f t="shared" ref="GI412:GI421" si="4558">EXACT(GG412,G412)</f>
        <v>0</v>
      </c>
      <c r="GJ412" s="31" t="s">
        <v>203</v>
      </c>
    </row>
    <row r="413" spans="1:192" ht="30" hidden="1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536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537"/>
        <v>0</v>
      </c>
      <c r="AF413" s="95">
        <f t="shared" si="4538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539"/>
        <v>48.279883435486262</v>
      </c>
      <c r="AO413" s="133" t="str">
        <f t="shared" si="4540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541"/>
        <v>0-02</v>
      </c>
      <c r="AW413" s="117">
        <f t="shared" si="4542"/>
        <v>0</v>
      </c>
      <c r="AX413" s="14"/>
      <c r="AY413" s="25">
        <f t="shared" si="4543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44"/>
        <v>0</v>
      </c>
      <c r="BG413" s="32">
        <v>0</v>
      </c>
      <c r="BH413" s="32">
        <f t="shared" si="4545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46"/>
        <v>854.64166666666654</v>
      </c>
      <c r="BR413" s="95">
        <f t="shared" si="4547"/>
        <v>758.31</v>
      </c>
      <c r="BS413" s="133">
        <f t="shared" si="4548"/>
        <v>-31.840000000000032</v>
      </c>
      <c r="BT413" s="133">
        <f t="shared" si="4548"/>
        <v>-908.63</v>
      </c>
      <c r="BU413" s="133">
        <f t="shared" si="4548"/>
        <v>-1772.13</v>
      </c>
      <c r="BV413" s="133">
        <f t="shared" si="4548"/>
        <v>-2699.53</v>
      </c>
      <c r="BW413" s="133">
        <f t="shared" si="4548"/>
        <v>-3550.8500000000004</v>
      </c>
      <c r="BX413" s="133">
        <f t="shared" si="4549"/>
        <v>-4405.4916666666668</v>
      </c>
      <c r="BY413" s="133">
        <f t="shared" si="4549"/>
        <v>-5260.1333333333332</v>
      </c>
      <c r="BZ413" s="133">
        <f t="shared" si="4549"/>
        <v>-6114.7749999999996</v>
      </c>
      <c r="CA413" s="133">
        <f t="shared" si="4549"/>
        <v>-6969.4166666666661</v>
      </c>
      <c r="CB413" s="133">
        <f t="shared" si="4549"/>
        <v>-7824.0583333333325</v>
      </c>
      <c r="CC413" s="133">
        <f t="shared" si="4549"/>
        <v>-8678.6999999999989</v>
      </c>
      <c r="CD413" s="133">
        <f t="shared" si="4549"/>
        <v>-9533.3416666666653</v>
      </c>
      <c r="CE413" s="133">
        <f t="shared" si="4549"/>
        <v>-10387.983333333332</v>
      </c>
      <c r="CF413" s="133">
        <f t="shared" si="4549"/>
        <v>-11242.624999999998</v>
      </c>
      <c r="CG413" s="133">
        <f t="shared" si="4549"/>
        <v>-12097.266666666665</v>
      </c>
      <c r="CH413" s="133">
        <f t="shared" si="4549"/>
        <v>-12951.908333333331</v>
      </c>
      <c r="CI413" s="133">
        <f t="shared" si="4549"/>
        <v>-13806.549999999997</v>
      </c>
      <c r="CJ413" s="133">
        <f t="shared" si="4549"/>
        <v>-14661.191666666664</v>
      </c>
      <c r="CK413" s="133">
        <f t="shared" si="4549"/>
        <v>-15515.83333333333</v>
      </c>
      <c r="CL413" s="133">
        <f t="shared" si="4549"/>
        <v>-16370.474999999997</v>
      </c>
      <c r="CM413" s="133">
        <f t="shared" si="4549"/>
        <v>-17225.116666666665</v>
      </c>
      <c r="CN413" s="133">
        <f t="shared" si="4549"/>
        <v>-18079.758333333331</v>
      </c>
      <c r="CO413" s="133">
        <f t="shared" si="4549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50"/>
        <v>0</v>
      </c>
      <c r="DB413" s="4">
        <f t="shared" si="4551"/>
        <v>0</v>
      </c>
      <c r="DC413" s="4">
        <f t="shared" si="4552"/>
        <v>0</v>
      </c>
      <c r="DD413" s="136">
        <f t="shared" si="4553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59">BK413*$FH413</f>
        <v>752998.31440000003</v>
      </c>
      <c r="EQ413" s="62">
        <f t="shared" si="4559"/>
        <v>726748.36399999994</v>
      </c>
      <c r="ER413" s="62">
        <f t="shared" si="4559"/>
        <v>806436.37040000001</v>
      </c>
      <c r="ES413" s="62">
        <f t="shared" si="4559"/>
        <v>794212.76</v>
      </c>
      <c r="ET413" s="62">
        <f t="shared" si="4559"/>
        <v>852985.424</v>
      </c>
      <c r="EU413" s="62">
        <f t="shared" si="4559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54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 t="shared" si="4448"/>
        <v>1</v>
      </c>
      <c r="FS413" s="103" t="b">
        <f t="shared" si="4449"/>
        <v>1</v>
      </c>
      <c r="FT413" s="103" t="b">
        <f t="shared" si="4450"/>
        <v>0</v>
      </c>
      <c r="FU413" s="103" t="b">
        <f t="shared" si="4451"/>
        <v>0</v>
      </c>
      <c r="FV413" s="103" t="b">
        <f t="shared" si="4452"/>
        <v>1</v>
      </c>
      <c r="FW413" s="104" t="b">
        <f t="shared" si="4472"/>
        <v>0</v>
      </c>
      <c r="FX413" s="120" t="b">
        <f t="shared" si="4555"/>
        <v>1</v>
      </c>
      <c r="FY413" s="104" t="s">
        <v>368</v>
      </c>
      <c r="FZ413" s="104" t="b">
        <f t="shared" si="4556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57"/>
        <v>1</v>
      </c>
      <c r="GI413" s="8" t="b">
        <f t="shared" si="4558"/>
        <v>0</v>
      </c>
      <c r="GJ413" s="31" t="s">
        <v>203</v>
      </c>
    </row>
    <row r="414" spans="1:192" hidden="1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536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537"/>
        <v>0</v>
      </c>
      <c r="AF414" s="95">
        <f t="shared" si="4538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539"/>
        <v>40.582162015949521</v>
      </c>
      <c r="AO414" s="130" t="str">
        <f t="shared" si="4540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541"/>
        <v>0-02</v>
      </c>
      <c r="AW414" s="149">
        <f t="shared" si="4542"/>
        <v>0</v>
      </c>
      <c r="AX414" s="144"/>
      <c r="AY414" s="146">
        <f t="shared" si="4543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44"/>
        <v>0</v>
      </c>
      <c r="BG414" s="32">
        <v>0</v>
      </c>
      <c r="BH414" s="32">
        <f t="shared" si="4545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46"/>
        <v>2160.395</v>
      </c>
      <c r="BR414" s="95">
        <f t="shared" si="4547"/>
        <v>1510.4420028686523</v>
      </c>
      <c r="BS414" s="133">
        <f t="shared" si="4548"/>
        <v>-886.36799713134769</v>
      </c>
      <c r="BT414" s="133">
        <f t="shared" si="4548"/>
        <v>-3211.3679971313477</v>
      </c>
      <c r="BU414" s="133">
        <f t="shared" si="4548"/>
        <v>-5330.5379971313478</v>
      </c>
      <c r="BV414" s="133">
        <f t="shared" si="4548"/>
        <v>-7398.8479971313482</v>
      </c>
      <c r="BW414" s="133">
        <f t="shared" si="4548"/>
        <v>-9311.2779971313485</v>
      </c>
      <c r="BX414" s="133">
        <f t="shared" ref="BX414:CO416" si="4560">BW414-$BQ414</f>
        <v>-11471.672997131349</v>
      </c>
      <c r="BY414" s="133">
        <f t="shared" si="4560"/>
        <v>-13632.067997131349</v>
      </c>
      <c r="BZ414" s="133">
        <f t="shared" si="4560"/>
        <v>-15792.46299713135</v>
      </c>
      <c r="CA414" s="133">
        <f t="shared" si="4560"/>
        <v>-17952.857997131348</v>
      </c>
      <c r="CB414" s="133">
        <f t="shared" si="4560"/>
        <v>-20113.252997131349</v>
      </c>
      <c r="CC414" s="133">
        <f t="shared" si="4560"/>
        <v>-22273.647997131349</v>
      </c>
      <c r="CD414" s="133">
        <f t="shared" si="4560"/>
        <v>-24434.04299713135</v>
      </c>
      <c r="CE414" s="133">
        <f t="shared" si="4560"/>
        <v>-26594.43799713135</v>
      </c>
      <c r="CF414" s="133">
        <f t="shared" si="4560"/>
        <v>-28754.832997131351</v>
      </c>
      <c r="CG414" s="133">
        <f t="shared" si="4560"/>
        <v>-30915.227997131351</v>
      </c>
      <c r="CH414" s="133">
        <f t="shared" si="4560"/>
        <v>-33075.622997131351</v>
      </c>
      <c r="CI414" s="133">
        <f t="shared" si="4560"/>
        <v>-35236.017997131348</v>
      </c>
      <c r="CJ414" s="133">
        <f t="shared" si="4560"/>
        <v>-37396.412997131345</v>
      </c>
      <c r="CK414" s="133">
        <f t="shared" si="4560"/>
        <v>-39556.807997131342</v>
      </c>
      <c r="CL414" s="133">
        <f t="shared" si="4560"/>
        <v>-41717.202997131339</v>
      </c>
      <c r="CM414" s="133">
        <f t="shared" si="4560"/>
        <v>-43877.597997131335</v>
      </c>
      <c r="CN414" s="133">
        <f t="shared" si="4560"/>
        <v>-46037.992997131332</v>
      </c>
      <c r="CO414" s="133">
        <f t="shared" si="4560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50"/>
        <v>0</v>
      </c>
      <c r="DB414" s="4">
        <f t="shared" si="4551"/>
        <v>0</v>
      </c>
      <c r="DC414" s="4">
        <f t="shared" si="4552"/>
        <v>0</v>
      </c>
      <c r="DD414" s="136">
        <f t="shared" si="4553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54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 t="shared" si="4448"/>
        <v>0</v>
      </c>
      <c r="FS414" s="150" t="b">
        <f t="shared" si="4449"/>
        <v>0</v>
      </c>
      <c r="FT414" s="150" t="b">
        <f t="shared" si="4450"/>
        <v>0</v>
      </c>
      <c r="FU414" s="150" t="b">
        <f t="shared" si="4451"/>
        <v>0</v>
      </c>
      <c r="FV414" s="150" t="b">
        <f t="shared" si="4452"/>
        <v>1</v>
      </c>
      <c r="FW414" s="104" t="b">
        <f t="shared" si="4472"/>
        <v>0</v>
      </c>
      <c r="FX414" s="150" t="b">
        <f t="shared" si="4555"/>
        <v>1</v>
      </c>
      <c r="FY414" s="104" t="s">
        <v>368</v>
      </c>
      <c r="FZ414" s="104" t="b">
        <f t="shared" si="4556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57"/>
        <v>1</v>
      </c>
      <c r="GI414" s="151" t="b">
        <f t="shared" si="4558"/>
        <v>0</v>
      </c>
      <c r="GJ414" s="31" t="s">
        <v>203</v>
      </c>
    </row>
    <row r="415" spans="1:192" hidden="1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536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537"/>
        <v>0</v>
      </c>
      <c r="AF415" s="95">
        <f t="shared" si="4538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539"/>
        <v>40.566471304504383</v>
      </c>
      <c r="AO415" s="133" t="str">
        <f t="shared" si="4540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541"/>
        <v>0-02</v>
      </c>
      <c r="AW415" s="117">
        <f t="shared" si="4542"/>
        <v>0</v>
      </c>
      <c r="AX415" s="14"/>
      <c r="AY415" s="25">
        <f t="shared" si="4543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44"/>
        <v>0</v>
      </c>
      <c r="BG415" s="32">
        <v>0</v>
      </c>
      <c r="BH415" s="32">
        <f t="shared" si="4545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46"/>
        <v>2110.61</v>
      </c>
      <c r="BR415" s="95">
        <f t="shared" si="4547"/>
        <v>1442.2399999999998</v>
      </c>
      <c r="BS415" s="133">
        <f t="shared" si="4548"/>
        <v>-903.32000000000016</v>
      </c>
      <c r="BT415" s="133">
        <f t="shared" si="4548"/>
        <v>-3178.6200000000003</v>
      </c>
      <c r="BU415" s="133">
        <f t="shared" si="4548"/>
        <v>-5246.0400000000009</v>
      </c>
      <c r="BV415" s="133">
        <f t="shared" si="4548"/>
        <v>-7266.6200000000008</v>
      </c>
      <c r="BW415" s="133">
        <f t="shared" si="4548"/>
        <v>-9133.66</v>
      </c>
      <c r="BX415" s="133">
        <f t="shared" si="4560"/>
        <v>-11244.27</v>
      </c>
      <c r="BY415" s="133">
        <f t="shared" si="4560"/>
        <v>-13354.880000000001</v>
      </c>
      <c r="BZ415" s="133">
        <f t="shared" si="4560"/>
        <v>-15465.490000000002</v>
      </c>
      <c r="CA415" s="133">
        <f t="shared" si="4560"/>
        <v>-17576.100000000002</v>
      </c>
      <c r="CB415" s="133">
        <f t="shared" si="4560"/>
        <v>-19686.710000000003</v>
      </c>
      <c r="CC415" s="133">
        <f t="shared" si="4560"/>
        <v>-21797.320000000003</v>
      </c>
      <c r="CD415" s="133">
        <f t="shared" si="4560"/>
        <v>-23907.930000000004</v>
      </c>
      <c r="CE415" s="133">
        <f t="shared" si="4560"/>
        <v>-26018.540000000005</v>
      </c>
      <c r="CF415" s="133">
        <f t="shared" si="4560"/>
        <v>-28129.150000000005</v>
      </c>
      <c r="CG415" s="133">
        <f t="shared" si="4560"/>
        <v>-30239.760000000006</v>
      </c>
      <c r="CH415" s="133">
        <f t="shared" si="4560"/>
        <v>-32350.370000000006</v>
      </c>
      <c r="CI415" s="133">
        <f t="shared" si="4560"/>
        <v>-34460.980000000003</v>
      </c>
      <c r="CJ415" s="133">
        <f t="shared" si="4560"/>
        <v>-36571.590000000004</v>
      </c>
      <c r="CK415" s="133">
        <f t="shared" si="4560"/>
        <v>-38682.200000000004</v>
      </c>
      <c r="CL415" s="133">
        <f t="shared" si="4560"/>
        <v>-40792.810000000005</v>
      </c>
      <c r="CM415" s="133">
        <f t="shared" si="4560"/>
        <v>-42903.420000000006</v>
      </c>
      <c r="CN415" s="133">
        <f t="shared" si="4560"/>
        <v>-45014.030000000006</v>
      </c>
      <c r="CO415" s="133">
        <f t="shared" si="4560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50"/>
        <v>0</v>
      </c>
      <c r="DB415" s="4">
        <f t="shared" si="4551"/>
        <v>0</v>
      </c>
      <c r="DC415" s="4">
        <f t="shared" si="4552"/>
        <v>0</v>
      </c>
      <c r="DD415" s="136">
        <f t="shared" si="4553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61">BK415*$FH415</f>
        <v>1298899.8840000001</v>
      </c>
      <c r="EQ415" s="62">
        <f t="shared" si="4561"/>
        <v>1459290.1539999999</v>
      </c>
      <c r="ER415" s="62">
        <f t="shared" si="4561"/>
        <v>1415577.895</v>
      </c>
      <c r="ES415" s="62">
        <f t="shared" si="4561"/>
        <v>1286245.3529999999</v>
      </c>
      <c r="ET415" s="62">
        <f t="shared" si="4561"/>
        <v>1257103.8469999998</v>
      </c>
      <c r="EU415" s="62">
        <f t="shared" si="4561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54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 t="shared" si="4448"/>
        <v>1</v>
      </c>
      <c r="FS415" s="103" t="b">
        <f t="shared" si="4449"/>
        <v>1</v>
      </c>
      <c r="FT415" s="103" t="b">
        <f t="shared" si="4450"/>
        <v>0</v>
      </c>
      <c r="FU415" s="103" t="b">
        <f t="shared" si="4451"/>
        <v>0</v>
      </c>
      <c r="FV415" s="103" t="b">
        <f t="shared" si="4452"/>
        <v>1</v>
      </c>
      <c r="FW415" s="104" t="b">
        <f t="shared" si="4472"/>
        <v>0</v>
      </c>
      <c r="FX415" s="120" t="b">
        <f t="shared" si="4555"/>
        <v>1</v>
      </c>
      <c r="FY415" s="104" t="s">
        <v>368</v>
      </c>
      <c r="FZ415" s="104" t="b">
        <f t="shared" si="4556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57"/>
        <v>1</v>
      </c>
      <c r="GI415" s="8" t="b">
        <f t="shared" si="4558"/>
        <v>0</v>
      </c>
      <c r="GJ415" s="31" t="s">
        <v>203</v>
      </c>
    </row>
    <row r="416" spans="1:192" ht="30" hidden="1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536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537"/>
        <v>0</v>
      </c>
      <c r="AF416" s="95">
        <f t="shared" si="4538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539"/>
        <v>41.247361824791923</v>
      </c>
      <c r="AO416" s="133" t="str">
        <f t="shared" si="4540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541"/>
        <v>0-03</v>
      </c>
      <c r="AW416" s="117">
        <f t="shared" si="4542"/>
        <v>0</v>
      </c>
      <c r="AX416" s="14"/>
      <c r="AY416" s="25">
        <f t="shared" si="4543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44"/>
        <v>0</v>
      </c>
      <c r="BG416" s="32">
        <v>0</v>
      </c>
      <c r="BH416" s="32">
        <f t="shared" si="4545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46"/>
        <v>49.784999999999997</v>
      </c>
      <c r="BR416" s="95">
        <f t="shared" si="4547"/>
        <v>72.307999954223632</v>
      </c>
      <c r="BS416" s="133">
        <f t="shared" si="4548"/>
        <v>21.057999954223632</v>
      </c>
      <c r="BT416" s="133">
        <f t="shared" si="4548"/>
        <v>-28.642000045776371</v>
      </c>
      <c r="BU416" s="133">
        <f t="shared" si="4548"/>
        <v>-80.392000045776371</v>
      </c>
      <c r="BV416" s="133">
        <f t="shared" si="4548"/>
        <v>-128.12200004577636</v>
      </c>
      <c r="BW416" s="133">
        <f t="shared" si="4548"/>
        <v>-173.51200004577635</v>
      </c>
      <c r="BX416" s="133">
        <f t="shared" si="4560"/>
        <v>-223.29700004577634</v>
      </c>
      <c r="BY416" s="133">
        <f t="shared" si="4560"/>
        <v>-273.08200004577634</v>
      </c>
      <c r="BZ416" s="133">
        <f t="shared" si="4560"/>
        <v>-322.86700004577631</v>
      </c>
      <c r="CA416" s="133">
        <f t="shared" si="4560"/>
        <v>-372.65200004577628</v>
      </c>
      <c r="CB416" s="133">
        <f t="shared" si="4560"/>
        <v>-422.43700004577624</v>
      </c>
      <c r="CC416" s="133">
        <f t="shared" si="4560"/>
        <v>-472.22200004577621</v>
      </c>
      <c r="CD416" s="133">
        <f t="shared" si="4560"/>
        <v>-522.00700004577618</v>
      </c>
      <c r="CE416" s="133">
        <f t="shared" si="4560"/>
        <v>-571.79200004577615</v>
      </c>
      <c r="CF416" s="133">
        <f t="shared" si="4560"/>
        <v>-621.57700004577612</v>
      </c>
      <c r="CG416" s="133">
        <f t="shared" si="4560"/>
        <v>-671.36200004577609</v>
      </c>
      <c r="CH416" s="133">
        <f t="shared" si="4560"/>
        <v>-721.14700004577605</v>
      </c>
      <c r="CI416" s="133">
        <f t="shared" si="4560"/>
        <v>-770.93200004577602</v>
      </c>
      <c r="CJ416" s="133">
        <f t="shared" si="4560"/>
        <v>-820.71700004577599</v>
      </c>
      <c r="CK416" s="133">
        <f t="shared" si="4560"/>
        <v>-870.50200004577596</v>
      </c>
      <c r="CL416" s="133">
        <f t="shared" si="4560"/>
        <v>-920.28700004577593</v>
      </c>
      <c r="CM416" s="133">
        <f t="shared" si="4560"/>
        <v>-970.07200004577589</v>
      </c>
      <c r="CN416" s="133">
        <f t="shared" si="4560"/>
        <v>-1019.8570000457759</v>
      </c>
      <c r="CO416" s="133">
        <f t="shared" si="4560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50"/>
        <v>0</v>
      </c>
      <c r="DB416" s="4">
        <f t="shared" si="4551"/>
        <v>0</v>
      </c>
      <c r="DC416" s="4">
        <f t="shared" si="4552"/>
        <v>0</v>
      </c>
      <c r="DD416" s="136">
        <f t="shared" si="4553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61"/>
        <v>39453.2955</v>
      </c>
      <c r="EQ416" s="62">
        <f t="shared" si="4561"/>
        <v>38229.9375</v>
      </c>
      <c r="ER416" s="62">
        <f t="shared" si="4561"/>
        <v>37073.715000000004</v>
      </c>
      <c r="ES416" s="62">
        <f t="shared" si="4561"/>
        <v>38602.912500000006</v>
      </c>
      <c r="ET416" s="62">
        <f t="shared" si="4561"/>
        <v>35604.193500000001</v>
      </c>
      <c r="EU416" s="62">
        <f t="shared" si="4561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54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 t="shared" si="4448"/>
        <v>1</v>
      </c>
      <c r="FS416" s="103" t="b">
        <f t="shared" si="4449"/>
        <v>1</v>
      </c>
      <c r="FT416" s="103" t="b">
        <f t="shared" si="4450"/>
        <v>0</v>
      </c>
      <c r="FU416" s="103" t="b">
        <f t="shared" si="4451"/>
        <v>0</v>
      </c>
      <c r="FV416" s="103" t="b">
        <f t="shared" si="4452"/>
        <v>1</v>
      </c>
      <c r="FW416" s="104" t="b">
        <f t="shared" si="4472"/>
        <v>0</v>
      </c>
      <c r="FX416" s="120" t="b">
        <f t="shared" si="4555"/>
        <v>1</v>
      </c>
      <c r="FY416" s="104" t="s">
        <v>368</v>
      </c>
      <c r="FZ416" s="104" t="b">
        <f t="shared" si="4556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57"/>
        <v>1</v>
      </c>
      <c r="GI416" s="8" t="b">
        <f t="shared" si="4558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536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537"/>
        <v>0</v>
      </c>
      <c r="AF417" s="95">
        <f t="shared" si="4538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539"/>
        <v>62.117804696346106</v>
      </c>
      <c r="AO417" s="130" t="str">
        <f t="shared" si="4540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541"/>
        <v>0-03</v>
      </c>
      <c r="AW417" s="149">
        <f t="shared" si="4542"/>
        <v>0</v>
      </c>
      <c r="AX417" s="144"/>
      <c r="AY417" s="146">
        <f t="shared" si="4543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44"/>
        <v>0</v>
      </c>
      <c r="BG417" s="32">
        <v>0</v>
      </c>
      <c r="BH417" s="32">
        <f t="shared" si="4545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46"/>
        <v>955.28166666666664</v>
      </c>
      <c r="BR417" s="95">
        <f t="shared" si="4547"/>
        <v>1078.1700219726563</v>
      </c>
      <c r="BS417" s="133">
        <f t="shared" ref="BS417:BW435" si="4562">BR417-BL417</f>
        <v>191.1600219726563</v>
      </c>
      <c r="BT417" s="133">
        <f t="shared" si="4562"/>
        <v>-741.14997802734376</v>
      </c>
      <c r="BU417" s="133">
        <f t="shared" si="4562"/>
        <v>-1727.7499780273438</v>
      </c>
      <c r="BV417" s="133">
        <f t="shared" si="4562"/>
        <v>-2645.0199780273438</v>
      </c>
      <c r="BW417" s="133">
        <f t="shared" si="4562"/>
        <v>-3641.9799780273438</v>
      </c>
      <c r="BX417" s="133">
        <f t="shared" ref="BX417:CO424" si="4563">BW417-$BQ417</f>
        <v>-4597.2616446940101</v>
      </c>
      <c r="BY417" s="133">
        <f t="shared" si="4563"/>
        <v>-5552.5433113606769</v>
      </c>
      <c r="BZ417" s="133">
        <f t="shared" si="4563"/>
        <v>-6507.8249780273436</v>
      </c>
      <c r="CA417" s="133">
        <f t="shared" si="4563"/>
        <v>-7463.1066446940104</v>
      </c>
      <c r="CB417" s="133">
        <f t="shared" si="4563"/>
        <v>-8418.3883113606771</v>
      </c>
      <c r="CC417" s="133">
        <f t="shared" si="4563"/>
        <v>-9373.6699780273429</v>
      </c>
      <c r="CD417" s="133">
        <f t="shared" si="4563"/>
        <v>-10328.951644694009</v>
      </c>
      <c r="CE417" s="133">
        <f t="shared" si="4563"/>
        <v>-11284.233311360675</v>
      </c>
      <c r="CF417" s="133">
        <f t="shared" si="4563"/>
        <v>-12239.51497802734</v>
      </c>
      <c r="CG417" s="133">
        <f t="shared" si="4563"/>
        <v>-13194.796644694006</v>
      </c>
      <c r="CH417" s="133">
        <f t="shared" si="4563"/>
        <v>-14150.078311360672</v>
      </c>
      <c r="CI417" s="133">
        <f t="shared" si="4563"/>
        <v>-15105.359978027338</v>
      </c>
      <c r="CJ417" s="133">
        <f t="shared" si="4563"/>
        <v>-16060.641644694004</v>
      </c>
      <c r="CK417" s="133">
        <f t="shared" si="4563"/>
        <v>-17015.923311360672</v>
      </c>
      <c r="CL417" s="133">
        <f t="shared" si="4563"/>
        <v>-17971.204978027337</v>
      </c>
      <c r="CM417" s="133">
        <f t="shared" si="4563"/>
        <v>-18926.486644694003</v>
      </c>
      <c r="CN417" s="133">
        <f t="shared" si="4563"/>
        <v>-19881.768311360669</v>
      </c>
      <c r="CO417" s="133">
        <f t="shared" si="4563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64">IFERROR(CZ417/CY417,0)</f>
        <v>0</v>
      </c>
      <c r="DB417" s="4">
        <f t="shared" ref="DB417:DB436" si="4565">CY417*FH417</f>
        <v>0</v>
      </c>
      <c r="DC417" s="4">
        <f t="shared" ref="DC417:DC436" si="4566">CZ417*FH417</f>
        <v>0</v>
      </c>
      <c r="DD417" s="136">
        <f t="shared" ref="DD417:DD436" si="4567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54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 t="shared" si="4448"/>
        <v>0</v>
      </c>
      <c r="FS417" s="150" t="b">
        <f t="shared" si="4449"/>
        <v>0</v>
      </c>
      <c r="FT417" s="150" t="b">
        <f t="shared" si="4450"/>
        <v>0</v>
      </c>
      <c r="FU417" s="150" t="b">
        <f t="shared" si="4451"/>
        <v>0</v>
      </c>
      <c r="FV417" s="150" t="b">
        <f t="shared" si="4452"/>
        <v>1</v>
      </c>
      <c r="FW417" s="104" t="b">
        <f t="shared" si="4472"/>
        <v>0</v>
      </c>
      <c r="FX417" s="150" t="b">
        <f t="shared" si="4555"/>
        <v>1</v>
      </c>
      <c r="FY417" s="104" t="s">
        <v>491</v>
      </c>
      <c r="FZ417" s="104" t="b">
        <f t="shared" si="4556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57"/>
        <v>1</v>
      </c>
      <c r="GI417" s="151" t="b">
        <f t="shared" si="4558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536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537"/>
        <v>0</v>
      </c>
      <c r="AF418" s="95">
        <f t="shared" si="4538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539"/>
        <v>81.786794754288152</v>
      </c>
      <c r="AO418" s="133" t="str">
        <f t="shared" si="4540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541"/>
        <v>0-03</v>
      </c>
      <c r="AW418" s="117">
        <f t="shared" si="4542"/>
        <v>0</v>
      </c>
      <c r="AX418" s="14"/>
      <c r="AY418" s="25">
        <f t="shared" si="4543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44"/>
        <v>0</v>
      </c>
      <c r="BG418" s="32">
        <v>0</v>
      </c>
      <c r="BH418" s="32">
        <f t="shared" si="4545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46"/>
        <v>725.54500000000007</v>
      </c>
      <c r="BR418" s="95">
        <f t="shared" si="4547"/>
        <v>1184.9100219726563</v>
      </c>
      <c r="BS418" s="133">
        <f t="shared" si="4562"/>
        <v>534.34002197265625</v>
      </c>
      <c r="BT418" s="133">
        <f t="shared" si="4562"/>
        <v>-142.49997802734379</v>
      </c>
      <c r="BU418" s="133">
        <f t="shared" si="4562"/>
        <v>-862.95997802734382</v>
      </c>
      <c r="BV418" s="133">
        <f t="shared" si="4562"/>
        <v>-1532.8799780273439</v>
      </c>
      <c r="BW418" s="133">
        <f t="shared" si="4562"/>
        <v>-2263.5599780273437</v>
      </c>
      <c r="BX418" s="133">
        <f t="shared" si="4563"/>
        <v>-2989.1049780273438</v>
      </c>
      <c r="BY418" s="133">
        <f t="shared" si="4563"/>
        <v>-3714.6499780273439</v>
      </c>
      <c r="BZ418" s="133">
        <f t="shared" si="4563"/>
        <v>-4440.1949780273444</v>
      </c>
      <c r="CA418" s="133">
        <f t="shared" si="4563"/>
        <v>-5165.7399780273445</v>
      </c>
      <c r="CB418" s="133">
        <f t="shared" si="4563"/>
        <v>-5891.2849780273446</v>
      </c>
      <c r="CC418" s="133">
        <f t="shared" si="4563"/>
        <v>-6616.8299780273446</v>
      </c>
      <c r="CD418" s="133">
        <f t="shared" si="4563"/>
        <v>-7342.3749780273447</v>
      </c>
      <c r="CE418" s="133">
        <f t="shared" si="4563"/>
        <v>-8067.9199780273448</v>
      </c>
      <c r="CF418" s="133">
        <f t="shared" si="4563"/>
        <v>-8793.4649780273448</v>
      </c>
      <c r="CG418" s="133">
        <f t="shared" si="4563"/>
        <v>-9519.0099780273449</v>
      </c>
      <c r="CH418" s="133">
        <f t="shared" si="4563"/>
        <v>-10244.554978027345</v>
      </c>
      <c r="CI418" s="133">
        <f t="shared" si="4563"/>
        <v>-10970.099978027345</v>
      </c>
      <c r="CJ418" s="133">
        <f t="shared" si="4563"/>
        <v>-11695.644978027345</v>
      </c>
      <c r="CK418" s="133">
        <f t="shared" si="4563"/>
        <v>-12421.189978027345</v>
      </c>
      <c r="CL418" s="133">
        <f t="shared" si="4563"/>
        <v>-13146.734978027345</v>
      </c>
      <c r="CM418" s="133">
        <f t="shared" si="4563"/>
        <v>-13872.279978027345</v>
      </c>
      <c r="CN418" s="133">
        <f t="shared" si="4563"/>
        <v>-14597.824978027345</v>
      </c>
      <c r="CO418" s="133">
        <f t="shared" si="4563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64"/>
        <v>0</v>
      </c>
      <c r="DB418" s="4">
        <f t="shared" si="4565"/>
        <v>0</v>
      </c>
      <c r="DC418" s="4">
        <f t="shared" si="4566"/>
        <v>0</v>
      </c>
      <c r="DD418" s="136">
        <f t="shared" si="4567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68">BK418*$FH418</f>
        <v>465411.02399999998</v>
      </c>
      <c r="EQ418" s="62">
        <f t="shared" si="4568"/>
        <v>334640.19660000002</v>
      </c>
      <c r="ER418" s="62">
        <f t="shared" si="4568"/>
        <v>348152.95920000004</v>
      </c>
      <c r="ES418" s="62">
        <f t="shared" si="4568"/>
        <v>370590.21480000002</v>
      </c>
      <c r="ET418" s="62">
        <f t="shared" si="4568"/>
        <v>344593.44959999999</v>
      </c>
      <c r="EU418" s="62">
        <f t="shared" si="4568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54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 t="shared" si="4448"/>
        <v>0</v>
      </c>
      <c r="FS418" s="103" t="b">
        <f t="shared" si="4449"/>
        <v>0</v>
      </c>
      <c r="FT418" s="103" t="b">
        <f t="shared" si="4450"/>
        <v>0</v>
      </c>
      <c r="FU418" s="103" t="b">
        <f t="shared" si="4451"/>
        <v>0</v>
      </c>
      <c r="FV418" s="103" t="b">
        <f t="shared" si="4452"/>
        <v>1</v>
      </c>
      <c r="FW418" s="104" t="b">
        <f t="shared" si="4472"/>
        <v>0</v>
      </c>
      <c r="FX418" s="120" t="b">
        <f t="shared" si="4555"/>
        <v>1</v>
      </c>
      <c r="FY418" s="104" t="s">
        <v>491</v>
      </c>
      <c r="FZ418" s="104" t="b">
        <f t="shared" si="4556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57"/>
        <v>1</v>
      </c>
      <c r="GI418" s="8" t="b">
        <f t="shared" si="4558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536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537"/>
        <v>0</v>
      </c>
      <c r="AF419" s="95">
        <f t="shared" si="4538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539"/>
        <v>0</v>
      </c>
      <c r="AO419" s="133" t="str">
        <f t="shared" si="4540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541"/>
        <v>нет остатка</v>
      </c>
      <c r="AW419" s="117">
        <f t="shared" si="4542"/>
        <v>0</v>
      </c>
      <c r="AX419" s="14"/>
      <c r="AY419" s="25">
        <f t="shared" si="4543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44"/>
        <v>0</v>
      </c>
      <c r="BG419" s="32">
        <v>0</v>
      </c>
      <c r="BH419" s="32">
        <f t="shared" si="4545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46"/>
        <v>229.73666666666665</v>
      </c>
      <c r="BR419" s="95">
        <f t="shared" si="4547"/>
        <v>-106.74</v>
      </c>
      <c r="BS419" s="133">
        <f t="shared" si="4562"/>
        <v>-343.18</v>
      </c>
      <c r="BT419" s="133">
        <f t="shared" si="4562"/>
        <v>-598.65</v>
      </c>
      <c r="BU419" s="133">
        <f t="shared" si="4562"/>
        <v>-864.79</v>
      </c>
      <c r="BV419" s="133">
        <f t="shared" si="4562"/>
        <v>-1112.1399999999999</v>
      </c>
      <c r="BW419" s="133">
        <f t="shared" si="4562"/>
        <v>-1378.4199999999998</v>
      </c>
      <c r="BX419" s="133">
        <f t="shared" si="4563"/>
        <v>-1608.1566666666665</v>
      </c>
      <c r="BY419" s="133">
        <f t="shared" si="4563"/>
        <v>-1837.8933333333332</v>
      </c>
      <c r="BZ419" s="133">
        <f t="shared" si="4563"/>
        <v>-2067.6299999999997</v>
      </c>
      <c r="CA419" s="133">
        <f t="shared" si="4563"/>
        <v>-2297.3666666666663</v>
      </c>
      <c r="CB419" s="133">
        <f t="shared" si="4563"/>
        <v>-2527.103333333333</v>
      </c>
      <c r="CC419" s="133">
        <f t="shared" si="4563"/>
        <v>-2756.8399999999997</v>
      </c>
      <c r="CD419" s="133">
        <f t="shared" si="4563"/>
        <v>-2986.5766666666664</v>
      </c>
      <c r="CE419" s="133">
        <f t="shared" si="4563"/>
        <v>-3216.313333333333</v>
      </c>
      <c r="CF419" s="133">
        <f t="shared" si="4563"/>
        <v>-3446.0499999999997</v>
      </c>
      <c r="CG419" s="133">
        <f t="shared" si="4563"/>
        <v>-3675.7866666666664</v>
      </c>
      <c r="CH419" s="133">
        <f t="shared" si="4563"/>
        <v>-3905.5233333333331</v>
      </c>
      <c r="CI419" s="133">
        <f t="shared" si="4563"/>
        <v>-4135.2599999999993</v>
      </c>
      <c r="CJ419" s="133">
        <f t="shared" si="4563"/>
        <v>-4364.996666666666</v>
      </c>
      <c r="CK419" s="133">
        <f t="shared" si="4563"/>
        <v>-4594.7333333333327</v>
      </c>
      <c r="CL419" s="133">
        <f t="shared" si="4563"/>
        <v>-4824.4699999999993</v>
      </c>
      <c r="CM419" s="133">
        <f t="shared" si="4563"/>
        <v>-5054.206666666666</v>
      </c>
      <c r="CN419" s="133">
        <f t="shared" si="4563"/>
        <v>-5283.9433333333327</v>
      </c>
      <c r="CO419" s="133">
        <f t="shared" si="4563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64"/>
        <v>0</v>
      </c>
      <c r="DB419" s="4">
        <f t="shared" si="4565"/>
        <v>0</v>
      </c>
      <c r="DC419" s="4">
        <f t="shared" si="4566"/>
        <v>0</v>
      </c>
      <c r="DD419" s="136">
        <f t="shared" si="4567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68"/>
        <v>51235.199999999997</v>
      </c>
      <c r="EQ419" s="62">
        <f t="shared" si="4568"/>
        <v>113491.2</v>
      </c>
      <c r="ER419" s="62">
        <f t="shared" si="4568"/>
        <v>122625.60000000001</v>
      </c>
      <c r="ES419" s="62">
        <f t="shared" si="4568"/>
        <v>127747.2</v>
      </c>
      <c r="ET419" s="62">
        <f t="shared" si="4568"/>
        <v>118728</v>
      </c>
      <c r="EU419" s="62">
        <f t="shared" si="4568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54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 t="shared" si="4448"/>
        <v>0</v>
      </c>
      <c r="FS419" s="103" t="b">
        <f t="shared" si="4449"/>
        <v>0</v>
      </c>
      <c r="FT419" s="103" t="b">
        <f t="shared" si="4450"/>
        <v>0</v>
      </c>
      <c r="FU419" s="103" t="b">
        <f t="shared" si="4451"/>
        <v>0</v>
      </c>
      <c r="FV419" s="103" t="b">
        <f t="shared" si="4452"/>
        <v>1</v>
      </c>
      <c r="FW419" s="104" t="b">
        <f t="shared" si="4472"/>
        <v>0</v>
      </c>
      <c r="FX419" s="120" t="b">
        <f t="shared" si="4555"/>
        <v>1</v>
      </c>
      <c r="FY419" s="104" t="s">
        <v>491</v>
      </c>
      <c r="FZ419" s="104" t="b">
        <f t="shared" si="4556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57"/>
        <v>1</v>
      </c>
      <c r="GI419" s="8" t="b">
        <f t="shared" si="4558"/>
        <v>0</v>
      </c>
      <c r="GJ419" s="31" t="s">
        <v>203</v>
      </c>
    </row>
    <row r="420" spans="1:192" hidden="1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536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537"/>
        <v>0</v>
      </c>
      <c r="AF420" s="95">
        <f t="shared" si="4538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539"/>
        <v>43.360701684967189</v>
      </c>
      <c r="AO420" s="130" t="str">
        <f t="shared" si="4540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541"/>
        <v>0-02</v>
      </c>
      <c r="AW420" s="149">
        <f t="shared" si="4542"/>
        <v>0</v>
      </c>
      <c r="AX420" s="144"/>
      <c r="AY420" s="146">
        <f t="shared" si="4543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44"/>
        <v>0</v>
      </c>
      <c r="BG420" s="32">
        <v>0</v>
      </c>
      <c r="BH420" s="32">
        <f t="shared" si="4545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46"/>
        <v>909.81</v>
      </c>
      <c r="BR420" s="95">
        <f t="shared" si="4547"/>
        <v>458.71000000000004</v>
      </c>
      <c r="BS420" s="133">
        <f t="shared" si="4562"/>
        <v>-296.86</v>
      </c>
      <c r="BT420" s="133">
        <f t="shared" si="4562"/>
        <v>-1154.04</v>
      </c>
      <c r="BU420" s="133">
        <f t="shared" si="4562"/>
        <v>-2227.0699999999997</v>
      </c>
      <c r="BV420" s="133">
        <f t="shared" si="4562"/>
        <v>-3309.8899999999994</v>
      </c>
      <c r="BW420" s="133">
        <f t="shared" si="4562"/>
        <v>-4283.8599999999997</v>
      </c>
      <c r="BX420" s="133">
        <f t="shared" si="4563"/>
        <v>-5193.67</v>
      </c>
      <c r="BY420" s="133">
        <f t="shared" si="4563"/>
        <v>-6103.48</v>
      </c>
      <c r="BZ420" s="133">
        <f t="shared" si="4563"/>
        <v>-7013.2899999999991</v>
      </c>
      <c r="CA420" s="133">
        <f t="shared" si="4563"/>
        <v>-7923.0999999999985</v>
      </c>
      <c r="CB420" s="133">
        <f t="shared" si="4563"/>
        <v>-8832.909999999998</v>
      </c>
      <c r="CC420" s="133">
        <f t="shared" si="4563"/>
        <v>-9742.7199999999975</v>
      </c>
      <c r="CD420" s="133">
        <f t="shared" si="4563"/>
        <v>-10652.529999999997</v>
      </c>
      <c r="CE420" s="133">
        <f t="shared" si="4563"/>
        <v>-11562.339999999997</v>
      </c>
      <c r="CF420" s="133">
        <f t="shared" si="4563"/>
        <v>-12472.149999999996</v>
      </c>
      <c r="CG420" s="133">
        <f t="shared" si="4563"/>
        <v>-13381.959999999995</v>
      </c>
      <c r="CH420" s="133">
        <f t="shared" si="4563"/>
        <v>-14291.769999999995</v>
      </c>
      <c r="CI420" s="133">
        <f t="shared" si="4563"/>
        <v>-15201.579999999994</v>
      </c>
      <c r="CJ420" s="133">
        <f t="shared" si="4563"/>
        <v>-16111.389999999994</v>
      </c>
      <c r="CK420" s="133">
        <f t="shared" si="4563"/>
        <v>-17021.199999999993</v>
      </c>
      <c r="CL420" s="133">
        <f t="shared" si="4563"/>
        <v>-17931.009999999995</v>
      </c>
      <c r="CM420" s="133">
        <f t="shared" si="4563"/>
        <v>-18840.819999999996</v>
      </c>
      <c r="CN420" s="133">
        <f t="shared" si="4563"/>
        <v>-19750.629999999997</v>
      </c>
      <c r="CO420" s="133">
        <f t="shared" si="4563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64"/>
        <v>0</v>
      </c>
      <c r="DB420" s="4">
        <f t="shared" si="4565"/>
        <v>0</v>
      </c>
      <c r="DC420" s="4">
        <f t="shared" si="4566"/>
        <v>0</v>
      </c>
      <c r="DD420" s="136">
        <f t="shared" si="4567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54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 t="shared" si="4448"/>
        <v>0</v>
      </c>
      <c r="FS420" s="150" t="b">
        <f t="shared" si="4449"/>
        <v>0</v>
      </c>
      <c r="FT420" s="150" t="b">
        <f t="shared" si="4450"/>
        <v>0</v>
      </c>
      <c r="FU420" s="150" t="b">
        <f t="shared" si="4451"/>
        <v>0</v>
      </c>
      <c r="FV420" s="150" t="b">
        <f t="shared" si="4452"/>
        <v>1</v>
      </c>
      <c r="FW420" s="104" t="b">
        <f t="shared" si="4472"/>
        <v>0</v>
      </c>
      <c r="FX420" s="150" t="b">
        <f t="shared" si="4555"/>
        <v>1</v>
      </c>
      <c r="FY420" s="104" t="s">
        <v>368</v>
      </c>
      <c r="FZ420" s="104" t="b">
        <f t="shared" si="4556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57"/>
        <v>1</v>
      </c>
      <c r="GI420" s="151" t="b">
        <f t="shared" si="4558"/>
        <v>0</v>
      </c>
      <c r="GJ420" s="31" t="s">
        <v>203</v>
      </c>
    </row>
    <row r="421" spans="1:192" hidden="1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69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70">AA421*FH421</f>
        <v>0</v>
      </c>
      <c r="AF421" s="95">
        <f t="shared" ref="AF421:AF436" si="4571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72">IFERROR(S421/BQ421*30,"нет оборота")</f>
        <v>43.360701684967189</v>
      </c>
      <c r="AO421" s="133" t="str">
        <f t="shared" ref="AO421:AO436" si="4573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74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75">IF(AT421="Да",W421,0)</f>
        <v>0</v>
      </c>
      <c r="AX421" s="14"/>
      <c r="AY421" s="25">
        <f t="shared" ref="AY421:AY436" si="4576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77">BE421*FH421</f>
        <v>0</v>
      </c>
      <c r="BG421" s="32">
        <v>0</v>
      </c>
      <c r="BH421" s="32">
        <f t="shared" ref="BH421:BH436" si="4578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79">IF(COUNTIF(BK421:BP421,"&gt;0")=0,0,SUM(BK421:BP421)/COUNTIF(BK421:BP421,"&gt;0"))</f>
        <v>909.81</v>
      </c>
      <c r="BR421" s="95">
        <f t="shared" ref="BR421:BR436" si="4580">IF(OR(Q421=0,SUM(BK421:BP421)=0,V421&gt;Q421),V421-BK421,Q421-BK421)</f>
        <v>458.71000000000004</v>
      </c>
      <c r="BS421" s="133">
        <f t="shared" si="4562"/>
        <v>-296.86</v>
      </c>
      <c r="BT421" s="133">
        <f t="shared" si="4562"/>
        <v>-1154.04</v>
      </c>
      <c r="BU421" s="133">
        <f t="shared" si="4562"/>
        <v>-2227.0699999999997</v>
      </c>
      <c r="BV421" s="133">
        <f t="shared" si="4562"/>
        <v>-3309.8899999999994</v>
      </c>
      <c r="BW421" s="133">
        <f t="shared" si="4562"/>
        <v>-4283.8599999999997</v>
      </c>
      <c r="BX421" s="133">
        <f t="shared" si="4563"/>
        <v>-5193.67</v>
      </c>
      <c r="BY421" s="133">
        <f t="shared" si="4563"/>
        <v>-6103.48</v>
      </c>
      <c r="BZ421" s="133">
        <f t="shared" si="4563"/>
        <v>-7013.2899999999991</v>
      </c>
      <c r="CA421" s="133">
        <f t="shared" si="4563"/>
        <v>-7923.0999999999985</v>
      </c>
      <c r="CB421" s="133">
        <f t="shared" si="4563"/>
        <v>-8832.909999999998</v>
      </c>
      <c r="CC421" s="133">
        <f t="shared" si="4563"/>
        <v>-9742.7199999999975</v>
      </c>
      <c r="CD421" s="133">
        <f t="shared" si="4563"/>
        <v>-10652.529999999997</v>
      </c>
      <c r="CE421" s="133">
        <f t="shared" si="4563"/>
        <v>-11562.339999999997</v>
      </c>
      <c r="CF421" s="133">
        <f t="shared" si="4563"/>
        <v>-12472.149999999996</v>
      </c>
      <c r="CG421" s="133">
        <f t="shared" si="4563"/>
        <v>-13381.959999999995</v>
      </c>
      <c r="CH421" s="133">
        <f t="shared" si="4563"/>
        <v>-14291.769999999995</v>
      </c>
      <c r="CI421" s="133">
        <f t="shared" si="4563"/>
        <v>-15201.579999999994</v>
      </c>
      <c r="CJ421" s="133">
        <f t="shared" si="4563"/>
        <v>-16111.389999999994</v>
      </c>
      <c r="CK421" s="133">
        <f t="shared" si="4563"/>
        <v>-17021.199999999993</v>
      </c>
      <c r="CL421" s="133">
        <f t="shared" si="4563"/>
        <v>-17931.009999999995</v>
      </c>
      <c r="CM421" s="133">
        <f t="shared" si="4563"/>
        <v>-18840.819999999996</v>
      </c>
      <c r="CN421" s="133">
        <f t="shared" si="4563"/>
        <v>-19750.629999999997</v>
      </c>
      <c r="CO421" s="133">
        <f t="shared" si="4563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64"/>
        <v>0</v>
      </c>
      <c r="DB421" s="4">
        <f t="shared" si="4565"/>
        <v>0</v>
      </c>
      <c r="DC421" s="4">
        <f t="shared" si="4566"/>
        <v>0</v>
      </c>
      <c r="DD421" s="136">
        <f t="shared" si="4567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81">BK421*$FH421</f>
        <v>447029.42609999998</v>
      </c>
      <c r="EQ421" s="62">
        <f t="shared" si="4581"/>
        <v>471543.68130000005</v>
      </c>
      <c r="ER421" s="62">
        <f t="shared" si="4581"/>
        <v>534957.46620000002</v>
      </c>
      <c r="ES421" s="62">
        <f t="shared" si="4581"/>
        <v>669667.29269999999</v>
      </c>
      <c r="ET421" s="62">
        <f t="shared" si="4581"/>
        <v>675777.13379999995</v>
      </c>
      <c r="EU421" s="62">
        <f t="shared" si="4581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54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 t="shared" si="4448"/>
        <v>1</v>
      </c>
      <c r="FS421" s="103" t="b">
        <f t="shared" si="4449"/>
        <v>1</v>
      </c>
      <c r="FT421" s="103" t="b">
        <f t="shared" si="4450"/>
        <v>0</v>
      </c>
      <c r="FU421" s="103" t="b">
        <f t="shared" si="4451"/>
        <v>0</v>
      </c>
      <c r="FV421" s="103" t="b">
        <f t="shared" si="4452"/>
        <v>1</v>
      </c>
      <c r="FW421" s="104" t="b">
        <f t="shared" si="4472"/>
        <v>0</v>
      </c>
      <c r="FX421" s="120" t="b">
        <f t="shared" si="4555"/>
        <v>1</v>
      </c>
      <c r="FY421" s="104" t="s">
        <v>368</v>
      </c>
      <c r="FZ421" s="104" t="b">
        <f t="shared" si="4556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57"/>
        <v>1</v>
      </c>
      <c r="GI421" s="8" t="b">
        <f t="shared" si="4558"/>
        <v>0</v>
      </c>
      <c r="GJ421" s="31" t="s">
        <v>203</v>
      </c>
    </row>
    <row r="422" spans="1:192" hidden="1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69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70"/>
        <v>0</v>
      </c>
      <c r="AF422" s="95">
        <f t="shared" si="4571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72"/>
        <v>93.971603450165134</v>
      </c>
      <c r="AO422" s="130" t="str">
        <f t="shared" si="4573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74"/>
        <v>0-04</v>
      </c>
      <c r="AW422" s="149">
        <f t="shared" si="4575"/>
        <v>0</v>
      </c>
      <c r="AX422" s="144"/>
      <c r="AY422" s="146">
        <f t="shared" si="4576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77"/>
        <v>0</v>
      </c>
      <c r="BG422" s="32">
        <v>0</v>
      </c>
      <c r="BH422" s="32">
        <f t="shared" si="4578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79"/>
        <v>106.46833333333335</v>
      </c>
      <c r="BR422" s="95">
        <f t="shared" si="4580"/>
        <v>230.32999999999998</v>
      </c>
      <c r="BS422" s="133">
        <f t="shared" si="4562"/>
        <v>123.96999999999998</v>
      </c>
      <c r="BT422" s="133">
        <f t="shared" si="4562"/>
        <v>10.289999999999978</v>
      </c>
      <c r="BU422" s="133">
        <f t="shared" si="4562"/>
        <v>-104.23000000000002</v>
      </c>
      <c r="BV422" s="133">
        <f t="shared" si="4562"/>
        <v>-214.16000000000003</v>
      </c>
      <c r="BW422" s="133">
        <f t="shared" si="4562"/>
        <v>-318.81000000000006</v>
      </c>
      <c r="BX422" s="133">
        <f t="shared" si="4563"/>
        <v>-425.27833333333342</v>
      </c>
      <c r="BY422" s="133">
        <f t="shared" si="4563"/>
        <v>-531.74666666666678</v>
      </c>
      <c r="BZ422" s="133">
        <f t="shared" si="4563"/>
        <v>-638.21500000000015</v>
      </c>
      <c r="CA422" s="133">
        <f t="shared" si="4563"/>
        <v>-744.68333333333351</v>
      </c>
      <c r="CB422" s="133">
        <f t="shared" si="4563"/>
        <v>-851.15166666666687</v>
      </c>
      <c r="CC422" s="133">
        <f t="shared" si="4563"/>
        <v>-957.62000000000023</v>
      </c>
      <c r="CD422" s="133">
        <f t="shared" si="4563"/>
        <v>-1064.0883333333336</v>
      </c>
      <c r="CE422" s="133">
        <f t="shared" si="4563"/>
        <v>-1170.5566666666668</v>
      </c>
      <c r="CF422" s="133">
        <f t="shared" si="4563"/>
        <v>-1277.0250000000001</v>
      </c>
      <c r="CG422" s="133">
        <f t="shared" si="4563"/>
        <v>-1383.4933333333333</v>
      </c>
      <c r="CH422" s="133">
        <f t="shared" si="4563"/>
        <v>-1489.9616666666666</v>
      </c>
      <c r="CI422" s="133">
        <f t="shared" si="4563"/>
        <v>-1596.4299999999998</v>
      </c>
      <c r="CJ422" s="133">
        <f t="shared" si="4563"/>
        <v>-1702.8983333333331</v>
      </c>
      <c r="CK422" s="133">
        <f t="shared" si="4563"/>
        <v>-1809.3666666666663</v>
      </c>
      <c r="CL422" s="133">
        <f t="shared" si="4563"/>
        <v>-1915.8349999999996</v>
      </c>
      <c r="CM422" s="133">
        <f t="shared" si="4563"/>
        <v>-2022.3033333333328</v>
      </c>
      <c r="CN422" s="133">
        <f t="shared" si="4563"/>
        <v>-2128.7716666666661</v>
      </c>
      <c r="CO422" s="133">
        <f t="shared" si="4563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64"/>
        <v>0</v>
      </c>
      <c r="DB422" s="4">
        <f t="shared" si="4565"/>
        <v>0</v>
      </c>
      <c r="DC422" s="4">
        <f t="shared" si="4566"/>
        <v>0</v>
      </c>
      <c r="DD422" s="136">
        <f t="shared" si="4567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54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 t="shared" si="4448"/>
        <v>0</v>
      </c>
      <c r="FS422" s="150" t="b">
        <f t="shared" si="4449"/>
        <v>0</v>
      </c>
      <c r="FT422" s="150" t="b">
        <f t="shared" si="4450"/>
        <v>0</v>
      </c>
      <c r="FU422" s="150" t="b">
        <f t="shared" si="4451"/>
        <v>0</v>
      </c>
      <c r="FV422" s="150" t="b">
        <f t="shared" si="4452"/>
        <v>1</v>
      </c>
      <c r="FW422" s="104" t="b">
        <f t="shared" si="4472"/>
        <v>0</v>
      </c>
      <c r="FX422" s="150" t="b">
        <f t="shared" ref="FX422:FX436" si="4582">EXACT(FQ422,BI422)</f>
        <v>1</v>
      </c>
      <c r="FY422" s="104" t="s">
        <v>368</v>
      </c>
      <c r="FZ422" s="104" t="b">
        <f t="shared" ref="FZ422:FZ436" si="4583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84">EXACT(GD422,C422)</f>
        <v>1</v>
      </c>
      <c r="GI422" s="151" t="b">
        <f t="shared" ref="GI422:GI436" si="4585">EXACT(GG422,G422)</f>
        <v>0</v>
      </c>
      <c r="GJ422" s="31" t="s">
        <v>203</v>
      </c>
    </row>
    <row r="423" spans="1:192" ht="90" hidden="1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69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70"/>
        <v>0</v>
      </c>
      <c r="AF423" s="95">
        <f t="shared" si="4571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72"/>
        <v>75.65629842989307</v>
      </c>
      <c r="AO423" s="133" t="str">
        <f t="shared" si="4573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74"/>
        <v>0-03</v>
      </c>
      <c r="AW423" s="117">
        <f t="shared" si="4575"/>
        <v>0</v>
      </c>
      <c r="AX423" s="14"/>
      <c r="AY423" s="25">
        <f t="shared" si="4576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77"/>
        <v>0</v>
      </c>
      <c r="BG423" s="32">
        <v>0</v>
      </c>
      <c r="BH423" s="32">
        <f t="shared" si="4578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79"/>
        <v>106.46833333333335</v>
      </c>
      <c r="BR423" s="95">
        <f t="shared" si="4580"/>
        <v>165.32999999999998</v>
      </c>
      <c r="BS423" s="133">
        <f t="shared" si="4562"/>
        <v>58.969999999999985</v>
      </c>
      <c r="BT423" s="133">
        <f t="shared" si="4562"/>
        <v>-54.710000000000022</v>
      </c>
      <c r="BU423" s="133">
        <f t="shared" si="4562"/>
        <v>-169.23000000000002</v>
      </c>
      <c r="BV423" s="133">
        <f t="shared" si="4562"/>
        <v>-279.16000000000003</v>
      </c>
      <c r="BW423" s="133">
        <f t="shared" si="4562"/>
        <v>-383.81000000000006</v>
      </c>
      <c r="BX423" s="133">
        <f t="shared" si="4563"/>
        <v>-490.27833333333342</v>
      </c>
      <c r="BY423" s="133">
        <f t="shared" si="4563"/>
        <v>-596.74666666666678</v>
      </c>
      <c r="BZ423" s="133">
        <f t="shared" si="4563"/>
        <v>-703.21500000000015</v>
      </c>
      <c r="CA423" s="133">
        <f t="shared" si="4563"/>
        <v>-809.68333333333351</v>
      </c>
      <c r="CB423" s="133">
        <f t="shared" si="4563"/>
        <v>-916.15166666666687</v>
      </c>
      <c r="CC423" s="133">
        <f t="shared" si="4563"/>
        <v>-1022.6200000000002</v>
      </c>
      <c r="CD423" s="133">
        <f t="shared" si="4563"/>
        <v>-1129.0883333333336</v>
      </c>
      <c r="CE423" s="133">
        <f t="shared" si="4563"/>
        <v>-1235.5566666666668</v>
      </c>
      <c r="CF423" s="133">
        <f t="shared" si="4563"/>
        <v>-1342.0250000000001</v>
      </c>
      <c r="CG423" s="133">
        <f t="shared" si="4563"/>
        <v>-1448.4933333333333</v>
      </c>
      <c r="CH423" s="133">
        <f t="shared" si="4563"/>
        <v>-1554.9616666666666</v>
      </c>
      <c r="CI423" s="133">
        <f t="shared" si="4563"/>
        <v>-1661.4299999999998</v>
      </c>
      <c r="CJ423" s="133">
        <f t="shared" si="4563"/>
        <v>-1767.8983333333331</v>
      </c>
      <c r="CK423" s="133">
        <f t="shared" si="4563"/>
        <v>-1874.3666666666663</v>
      </c>
      <c r="CL423" s="133">
        <f t="shared" si="4563"/>
        <v>-1980.8349999999996</v>
      </c>
      <c r="CM423" s="133">
        <f t="shared" si="4563"/>
        <v>-2087.3033333333328</v>
      </c>
      <c r="CN423" s="133">
        <f t="shared" si="4563"/>
        <v>-2193.7716666666661</v>
      </c>
      <c r="CO423" s="133">
        <f t="shared" si="4563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64"/>
        <v>0</v>
      </c>
      <c r="DB423" s="4">
        <f t="shared" si="4565"/>
        <v>0</v>
      </c>
      <c r="DC423" s="4">
        <f t="shared" si="4566"/>
        <v>0</v>
      </c>
      <c r="DD423" s="136">
        <f t="shared" si="4567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86">BK423*$FH423</f>
        <v>203665.67760000002</v>
      </c>
      <c r="EQ423" s="62">
        <f t="shared" si="4586"/>
        <v>241573.34080000003</v>
      </c>
      <c r="ER423" s="62">
        <f t="shared" si="4586"/>
        <v>258199.11040000003</v>
      </c>
      <c r="ES423" s="62">
        <f t="shared" si="4586"/>
        <v>260106.98560000001</v>
      </c>
      <c r="ET423" s="62">
        <f t="shared" si="4586"/>
        <v>249681.81040000005</v>
      </c>
      <c r="EU423" s="62">
        <f t="shared" si="4586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87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 t="shared" si="4448"/>
        <v>1</v>
      </c>
      <c r="FS423" s="103" t="b">
        <f t="shared" si="4449"/>
        <v>1</v>
      </c>
      <c r="FT423" s="103" t="b">
        <f t="shared" si="4450"/>
        <v>1</v>
      </c>
      <c r="FU423" s="103" t="b">
        <f t="shared" si="4451"/>
        <v>0</v>
      </c>
      <c r="FV423" s="103" t="b">
        <f t="shared" si="4452"/>
        <v>1</v>
      </c>
      <c r="FW423" s="104" t="b">
        <f t="shared" si="4472"/>
        <v>0</v>
      </c>
      <c r="FX423" s="120" t="b">
        <f t="shared" si="4582"/>
        <v>1</v>
      </c>
      <c r="FY423" s="104" t="s">
        <v>368</v>
      </c>
      <c r="FZ423" s="104" t="b">
        <f t="shared" si="4583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84"/>
        <v>1</v>
      </c>
      <c r="GI423" s="8" t="b">
        <f t="shared" si="4585"/>
        <v>0</v>
      </c>
      <c r="GJ423" s="31" t="s">
        <v>203</v>
      </c>
    </row>
    <row r="424" spans="1:192" ht="30" hidden="1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69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70"/>
        <v>0</v>
      </c>
      <c r="AF424" s="95">
        <f t="shared" si="4571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72"/>
        <v>нет оборота</v>
      </c>
      <c r="AO424" s="133" t="str">
        <f t="shared" si="4573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74"/>
        <v>Нет планов</v>
      </c>
      <c r="AW424" s="117">
        <f t="shared" si="4575"/>
        <v>109280.6</v>
      </c>
      <c r="AX424" s="14"/>
      <c r="AY424" s="25">
        <f t="shared" si="4576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77"/>
        <v>0</v>
      </c>
      <c r="BG424" s="32">
        <v>0</v>
      </c>
      <c r="BH424" s="32">
        <f t="shared" si="4578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79"/>
        <v>0</v>
      </c>
      <c r="BR424" s="95">
        <f t="shared" si="4580"/>
        <v>65</v>
      </c>
      <c r="BS424" s="133">
        <f t="shared" si="4562"/>
        <v>65</v>
      </c>
      <c r="BT424" s="133">
        <f t="shared" si="4562"/>
        <v>65</v>
      </c>
      <c r="BU424" s="133">
        <f t="shared" si="4562"/>
        <v>65</v>
      </c>
      <c r="BV424" s="133">
        <f t="shared" si="4562"/>
        <v>65</v>
      </c>
      <c r="BW424" s="133">
        <f t="shared" si="4562"/>
        <v>65</v>
      </c>
      <c r="BX424" s="133">
        <f t="shared" si="4563"/>
        <v>65</v>
      </c>
      <c r="BY424" s="133">
        <f t="shared" si="4563"/>
        <v>65</v>
      </c>
      <c r="BZ424" s="133">
        <f t="shared" si="4563"/>
        <v>65</v>
      </c>
      <c r="CA424" s="133">
        <f t="shared" si="4563"/>
        <v>65</v>
      </c>
      <c r="CB424" s="133">
        <f t="shared" si="4563"/>
        <v>65</v>
      </c>
      <c r="CC424" s="133">
        <f t="shared" si="4563"/>
        <v>65</v>
      </c>
      <c r="CD424" s="133">
        <f t="shared" si="4563"/>
        <v>65</v>
      </c>
      <c r="CE424" s="133">
        <f t="shared" si="4563"/>
        <v>65</v>
      </c>
      <c r="CF424" s="133">
        <f t="shared" si="4563"/>
        <v>65</v>
      </c>
      <c r="CG424" s="133">
        <f t="shared" si="4563"/>
        <v>65</v>
      </c>
      <c r="CH424" s="133">
        <f t="shared" si="4563"/>
        <v>65</v>
      </c>
      <c r="CI424" s="133">
        <f t="shared" si="4563"/>
        <v>65</v>
      </c>
      <c r="CJ424" s="133">
        <f t="shared" si="4563"/>
        <v>65</v>
      </c>
      <c r="CK424" s="133">
        <f t="shared" si="4563"/>
        <v>65</v>
      </c>
      <c r="CL424" s="133">
        <f t="shared" si="4563"/>
        <v>65</v>
      </c>
      <c r="CM424" s="133">
        <f t="shared" si="4563"/>
        <v>65</v>
      </c>
      <c r="CN424" s="133">
        <f t="shared" si="4563"/>
        <v>65</v>
      </c>
      <c r="CO424" s="133">
        <f t="shared" si="4563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64"/>
        <v>0</v>
      </c>
      <c r="DB424" s="4">
        <f t="shared" si="4565"/>
        <v>0</v>
      </c>
      <c r="DC424" s="4">
        <f t="shared" si="4566"/>
        <v>0</v>
      </c>
      <c r="DD424" s="136">
        <f t="shared" si="4567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86"/>
        <v>0</v>
      </c>
      <c r="EQ424" s="62">
        <f t="shared" si="4586"/>
        <v>0</v>
      </c>
      <c r="ER424" s="62">
        <f t="shared" si="4586"/>
        <v>0</v>
      </c>
      <c r="ES424" s="62">
        <f t="shared" si="4586"/>
        <v>0</v>
      </c>
      <c r="ET424" s="62">
        <f t="shared" si="4586"/>
        <v>0</v>
      </c>
      <c r="EU424" s="62">
        <f t="shared" si="4586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87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 t="shared" si="4448"/>
        <v>1</v>
      </c>
      <c r="FS424" s="103" t="b">
        <f t="shared" si="4449"/>
        <v>1</v>
      </c>
      <c r="FT424" s="103" t="b">
        <f t="shared" si="4450"/>
        <v>0</v>
      </c>
      <c r="FU424" s="103" t="b">
        <f t="shared" si="4451"/>
        <v>0</v>
      </c>
      <c r="FV424" s="103" t="b">
        <f t="shared" si="4452"/>
        <v>1</v>
      </c>
      <c r="FW424" s="104" t="b">
        <f t="shared" si="4472"/>
        <v>0</v>
      </c>
      <c r="FX424" s="120" t="b">
        <f t="shared" si="4582"/>
        <v>1</v>
      </c>
      <c r="FY424" s="104" t="s">
        <v>368</v>
      </c>
      <c r="FZ424" s="104" t="b">
        <f t="shared" si="4583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84"/>
        <v>1</v>
      </c>
      <c r="GI424" s="8" t="b">
        <f t="shared" si="4585"/>
        <v>0</v>
      </c>
      <c r="GJ424" s="31" t="s">
        <v>203</v>
      </c>
    </row>
    <row r="425" spans="1:192" hidden="1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69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70"/>
        <v>0</v>
      </c>
      <c r="AF425" s="95">
        <f t="shared" si="4571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72"/>
        <v>61.303423472655794</v>
      </c>
      <c r="AO425" s="130" t="str">
        <f t="shared" si="4573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74"/>
        <v>0-03</v>
      </c>
      <c r="AW425" s="149">
        <f t="shared" si="4575"/>
        <v>0</v>
      </c>
      <c r="AX425" s="144"/>
      <c r="AY425" s="146">
        <f t="shared" si="4576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77"/>
        <v>0</v>
      </c>
      <c r="BG425" s="32">
        <v>0</v>
      </c>
      <c r="BH425" s="32">
        <f t="shared" si="4578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79"/>
        <v>389.50500000000005</v>
      </c>
      <c r="BR425" s="95">
        <f t="shared" si="4580"/>
        <v>686.81697296142579</v>
      </c>
      <c r="BS425" s="133">
        <f t="shared" si="4562"/>
        <v>269.71697296142577</v>
      </c>
      <c r="BT425" s="133">
        <f t="shared" si="4562"/>
        <v>-98.453027038574248</v>
      </c>
      <c r="BU425" s="133">
        <f t="shared" si="4562"/>
        <v>-496.22302703857429</v>
      </c>
      <c r="BV425" s="133">
        <f t="shared" si="4562"/>
        <v>-972.66302703857423</v>
      </c>
      <c r="BW425" s="133">
        <f t="shared" si="4562"/>
        <v>-1431.4530270385742</v>
      </c>
      <c r="BX425" s="133">
        <f t="shared" ref="BX425:CO427" si="4588">BW425-$BQ425</f>
        <v>-1820.9580270385743</v>
      </c>
      <c r="BY425" s="133">
        <f t="shared" si="4588"/>
        <v>-2210.4630270385742</v>
      </c>
      <c r="BZ425" s="133">
        <f t="shared" si="4588"/>
        <v>-2599.9680270385743</v>
      </c>
      <c r="CA425" s="133">
        <f t="shared" si="4588"/>
        <v>-2989.4730270385744</v>
      </c>
      <c r="CB425" s="133">
        <f t="shared" si="4588"/>
        <v>-3378.9780270385745</v>
      </c>
      <c r="CC425" s="133">
        <f t="shared" si="4588"/>
        <v>-3768.4830270385746</v>
      </c>
      <c r="CD425" s="133">
        <f t="shared" si="4588"/>
        <v>-4157.9880270385747</v>
      </c>
      <c r="CE425" s="133">
        <f t="shared" si="4588"/>
        <v>-4547.4930270385748</v>
      </c>
      <c r="CF425" s="133">
        <f t="shared" si="4588"/>
        <v>-4936.9980270385749</v>
      </c>
      <c r="CG425" s="133">
        <f t="shared" si="4588"/>
        <v>-5326.5030270385751</v>
      </c>
      <c r="CH425" s="133">
        <f t="shared" si="4588"/>
        <v>-5716.0080270385752</v>
      </c>
      <c r="CI425" s="133">
        <f t="shared" si="4588"/>
        <v>-6105.5130270385753</v>
      </c>
      <c r="CJ425" s="133">
        <f t="shared" si="4588"/>
        <v>-6495.0180270385754</v>
      </c>
      <c r="CK425" s="133">
        <f t="shared" si="4588"/>
        <v>-6884.5230270385755</v>
      </c>
      <c r="CL425" s="133">
        <f t="shared" si="4588"/>
        <v>-7274.0280270385756</v>
      </c>
      <c r="CM425" s="133">
        <f t="shared" si="4588"/>
        <v>-7663.5330270385757</v>
      </c>
      <c r="CN425" s="133">
        <f t="shared" si="4588"/>
        <v>-8053.0380270385758</v>
      </c>
      <c r="CO425" s="133">
        <f t="shared" si="4588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64"/>
        <v>0</v>
      </c>
      <c r="DB425" s="4">
        <f t="shared" si="4565"/>
        <v>0</v>
      </c>
      <c r="DC425" s="4">
        <f t="shared" si="4566"/>
        <v>0</v>
      </c>
      <c r="DD425" s="136">
        <f t="shared" si="4567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87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 t="shared" si="4448"/>
        <v>0</v>
      </c>
      <c r="FS425" s="150" t="b">
        <f t="shared" si="4449"/>
        <v>0</v>
      </c>
      <c r="FT425" s="150" t="b">
        <f t="shared" si="4450"/>
        <v>0</v>
      </c>
      <c r="FU425" s="150" t="b">
        <f t="shared" si="4451"/>
        <v>0</v>
      </c>
      <c r="FV425" s="150" t="b">
        <f t="shared" si="4452"/>
        <v>1</v>
      </c>
      <c r="FW425" s="104" t="b">
        <f t="shared" si="4472"/>
        <v>0</v>
      </c>
      <c r="FX425" s="150" t="b">
        <f t="shared" si="4582"/>
        <v>1</v>
      </c>
      <c r="FY425" s="104" t="s">
        <v>368</v>
      </c>
      <c r="FZ425" s="104" t="b">
        <f t="shared" si="4583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84"/>
        <v>1</v>
      </c>
      <c r="GI425" s="151" t="b">
        <f t="shared" si="4585"/>
        <v>0</v>
      </c>
      <c r="GJ425" s="31" t="s">
        <v>203</v>
      </c>
    </row>
    <row r="426" spans="1:192" hidden="1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69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70"/>
        <v>0</v>
      </c>
      <c r="AF426" s="95">
        <f t="shared" si="4571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72"/>
        <v>62.376379513634348</v>
      </c>
      <c r="AO426" s="133" t="str">
        <f t="shared" si="4573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74"/>
        <v>0-03</v>
      </c>
      <c r="AW426" s="117">
        <f t="shared" si="4575"/>
        <v>0</v>
      </c>
      <c r="AX426" s="14"/>
      <c r="AY426" s="25">
        <f t="shared" si="4576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77"/>
        <v>0</v>
      </c>
      <c r="BG426" s="32">
        <v>0</v>
      </c>
      <c r="BH426" s="32">
        <f t="shared" si="4578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79"/>
        <v>382.80500000000001</v>
      </c>
      <c r="BR426" s="95">
        <f t="shared" si="4580"/>
        <v>661.81697296142579</v>
      </c>
      <c r="BS426" s="133">
        <f t="shared" si="4562"/>
        <v>252.75697296142579</v>
      </c>
      <c r="BT426" s="133">
        <f t="shared" si="4562"/>
        <v>-107.37302703857421</v>
      </c>
      <c r="BU426" s="133">
        <f t="shared" si="4562"/>
        <v>-497.10302703857423</v>
      </c>
      <c r="BV426" s="133">
        <f t="shared" si="4562"/>
        <v>-965.50302703857415</v>
      </c>
      <c r="BW426" s="133">
        <f t="shared" si="4562"/>
        <v>-1416.2530270385741</v>
      </c>
      <c r="BX426" s="133">
        <f t="shared" si="4588"/>
        <v>-1799.0580270385742</v>
      </c>
      <c r="BY426" s="133">
        <f t="shared" si="4588"/>
        <v>-2181.8630270385743</v>
      </c>
      <c r="BZ426" s="133">
        <f t="shared" si="4588"/>
        <v>-2564.6680270385741</v>
      </c>
      <c r="CA426" s="133">
        <f t="shared" si="4588"/>
        <v>-2947.4730270385739</v>
      </c>
      <c r="CB426" s="133">
        <f t="shared" si="4588"/>
        <v>-3330.2780270385738</v>
      </c>
      <c r="CC426" s="133">
        <f t="shared" si="4588"/>
        <v>-3713.0830270385736</v>
      </c>
      <c r="CD426" s="133">
        <f t="shared" si="4588"/>
        <v>-4095.8880270385735</v>
      </c>
      <c r="CE426" s="133">
        <f t="shared" si="4588"/>
        <v>-4478.6930270385737</v>
      </c>
      <c r="CF426" s="133">
        <f t="shared" si="4588"/>
        <v>-4861.498027038574</v>
      </c>
      <c r="CG426" s="133">
        <f t="shared" si="4588"/>
        <v>-5244.3030270385743</v>
      </c>
      <c r="CH426" s="133">
        <f t="shared" si="4588"/>
        <v>-5627.1080270385746</v>
      </c>
      <c r="CI426" s="133">
        <f t="shared" si="4588"/>
        <v>-6009.9130270385749</v>
      </c>
      <c r="CJ426" s="133">
        <f t="shared" si="4588"/>
        <v>-6392.7180270385752</v>
      </c>
      <c r="CK426" s="133">
        <f t="shared" si="4588"/>
        <v>-6775.5230270385755</v>
      </c>
      <c r="CL426" s="133">
        <f t="shared" si="4588"/>
        <v>-7158.3280270385758</v>
      </c>
      <c r="CM426" s="133">
        <f t="shared" si="4588"/>
        <v>-7541.1330270385761</v>
      </c>
      <c r="CN426" s="133">
        <f t="shared" si="4588"/>
        <v>-7923.9380270385764</v>
      </c>
      <c r="CO426" s="133">
        <f t="shared" si="4588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64"/>
        <v>0</v>
      </c>
      <c r="DB426" s="4">
        <f t="shared" si="4565"/>
        <v>0</v>
      </c>
      <c r="DC426" s="4">
        <f t="shared" si="4566"/>
        <v>0</v>
      </c>
      <c r="DD426" s="136">
        <f t="shared" si="4567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89">BK426*$FH426</f>
        <v>173008.5336</v>
      </c>
      <c r="EQ426" s="62">
        <f t="shared" si="4589"/>
        <v>323509.19160000002</v>
      </c>
      <c r="ER426" s="62">
        <f t="shared" si="4589"/>
        <v>284812.4118</v>
      </c>
      <c r="ES426" s="62">
        <f t="shared" si="4589"/>
        <v>308221.86780000001</v>
      </c>
      <c r="ET426" s="62">
        <f t="shared" si="4589"/>
        <v>370438.82399999996</v>
      </c>
      <c r="EU426" s="62">
        <f t="shared" si="4589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87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 t="shared" si="4448"/>
        <v>1</v>
      </c>
      <c r="FS426" s="103" t="b">
        <f t="shared" si="4449"/>
        <v>1</v>
      </c>
      <c r="FT426" s="103" t="b">
        <f t="shared" si="4450"/>
        <v>0</v>
      </c>
      <c r="FU426" s="103" t="b">
        <f t="shared" si="4451"/>
        <v>0</v>
      </c>
      <c r="FV426" s="103" t="b">
        <f t="shared" si="4452"/>
        <v>1</v>
      </c>
      <c r="FW426" s="104" t="b">
        <f t="shared" si="4472"/>
        <v>0</v>
      </c>
      <c r="FX426" s="120" t="b">
        <f t="shared" si="4582"/>
        <v>1</v>
      </c>
      <c r="FY426" s="104" t="s">
        <v>368</v>
      </c>
      <c r="FZ426" s="104" t="b">
        <f t="shared" si="4583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84"/>
        <v>1</v>
      </c>
      <c r="GI426" s="8" t="b">
        <f t="shared" si="4585"/>
        <v>0</v>
      </c>
      <c r="GJ426" s="31" t="s">
        <v>203</v>
      </c>
    </row>
    <row r="427" spans="1:192" hidden="1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69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70"/>
        <v>0</v>
      </c>
      <c r="AF427" s="95">
        <f t="shared" si="4571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72"/>
        <v>0</v>
      </c>
      <c r="AO427" s="133" t="str">
        <f t="shared" si="4573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74"/>
        <v>0-05</v>
      </c>
      <c r="AW427" s="117">
        <f t="shared" si="4575"/>
        <v>0</v>
      </c>
      <c r="AX427" s="14"/>
      <c r="AY427" s="25">
        <f t="shared" si="4576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77"/>
        <v>0</v>
      </c>
      <c r="BG427" s="32">
        <v>0</v>
      </c>
      <c r="BH427" s="32">
        <f t="shared" si="4578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79"/>
        <v>8.0399999999999991</v>
      </c>
      <c r="BR427" s="95">
        <f t="shared" si="4580"/>
        <v>25</v>
      </c>
      <c r="BS427" s="133">
        <f t="shared" si="4562"/>
        <v>16.96</v>
      </c>
      <c r="BT427" s="133">
        <f t="shared" si="4562"/>
        <v>8.9200000000000017</v>
      </c>
      <c r="BU427" s="133">
        <f t="shared" si="4562"/>
        <v>0.88000000000000256</v>
      </c>
      <c r="BV427" s="133">
        <f t="shared" si="4562"/>
        <v>-7.1599999999999966</v>
      </c>
      <c r="BW427" s="133">
        <f t="shared" si="4562"/>
        <v>-15.199999999999996</v>
      </c>
      <c r="BX427" s="133">
        <f t="shared" si="4588"/>
        <v>-23.239999999999995</v>
      </c>
      <c r="BY427" s="133">
        <f t="shared" si="4588"/>
        <v>-31.279999999999994</v>
      </c>
      <c r="BZ427" s="133">
        <f t="shared" si="4588"/>
        <v>-39.319999999999993</v>
      </c>
      <c r="CA427" s="133">
        <f t="shared" si="4588"/>
        <v>-47.359999999999992</v>
      </c>
      <c r="CB427" s="133">
        <f t="shared" si="4588"/>
        <v>-55.399999999999991</v>
      </c>
      <c r="CC427" s="133">
        <f t="shared" si="4588"/>
        <v>-63.439999999999991</v>
      </c>
      <c r="CD427" s="133">
        <f t="shared" si="4588"/>
        <v>-71.47999999999999</v>
      </c>
      <c r="CE427" s="133">
        <f t="shared" si="4588"/>
        <v>-79.519999999999982</v>
      </c>
      <c r="CF427" s="133">
        <f t="shared" si="4588"/>
        <v>-87.559999999999974</v>
      </c>
      <c r="CG427" s="133">
        <f t="shared" si="4588"/>
        <v>-95.599999999999966</v>
      </c>
      <c r="CH427" s="133">
        <f t="shared" si="4588"/>
        <v>-103.63999999999996</v>
      </c>
      <c r="CI427" s="133">
        <f t="shared" si="4588"/>
        <v>-111.67999999999995</v>
      </c>
      <c r="CJ427" s="133">
        <f t="shared" si="4588"/>
        <v>-119.71999999999994</v>
      </c>
      <c r="CK427" s="133">
        <f t="shared" si="4588"/>
        <v>-127.75999999999993</v>
      </c>
      <c r="CL427" s="133">
        <f t="shared" si="4588"/>
        <v>-135.79999999999993</v>
      </c>
      <c r="CM427" s="133">
        <f t="shared" si="4588"/>
        <v>-143.83999999999992</v>
      </c>
      <c r="CN427" s="133">
        <f t="shared" si="4588"/>
        <v>-151.87999999999991</v>
      </c>
      <c r="CO427" s="133">
        <f t="shared" si="4588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64"/>
        <v>0</v>
      </c>
      <c r="DB427" s="4">
        <f t="shared" si="4565"/>
        <v>0</v>
      </c>
      <c r="DC427" s="4">
        <f t="shared" si="4566"/>
        <v>0</v>
      </c>
      <c r="DD427" s="136">
        <f t="shared" si="4567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89"/>
        <v>0</v>
      </c>
      <c r="EQ427" s="62">
        <f t="shared" si="4589"/>
        <v>4687.32</v>
      </c>
      <c r="ER427" s="62">
        <f t="shared" si="4589"/>
        <v>4687.32</v>
      </c>
      <c r="ES427" s="62">
        <f t="shared" si="4589"/>
        <v>4687.32</v>
      </c>
      <c r="ET427" s="62">
        <f t="shared" si="4589"/>
        <v>4687.32</v>
      </c>
      <c r="EU427" s="62">
        <f t="shared" si="4589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87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 t="shared" si="4448"/>
        <v>1</v>
      </c>
      <c r="FS427" s="103" t="b">
        <f t="shared" si="4449"/>
        <v>1</v>
      </c>
      <c r="FT427" s="103" t="b">
        <f t="shared" si="4450"/>
        <v>1</v>
      </c>
      <c r="FU427" s="103" t="b">
        <f t="shared" si="4451"/>
        <v>1</v>
      </c>
      <c r="FV427" s="103" t="b">
        <f t="shared" si="4452"/>
        <v>1</v>
      </c>
      <c r="FW427" s="104" t="b">
        <f t="shared" si="4472"/>
        <v>0</v>
      </c>
      <c r="FX427" s="120" t="b">
        <f t="shared" si="4582"/>
        <v>1</v>
      </c>
      <c r="FY427" s="104" t="s">
        <v>368</v>
      </c>
      <c r="FZ427" s="104" t="b">
        <f t="shared" si="4583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84"/>
        <v>1</v>
      </c>
      <c r="GI427" s="8" t="b">
        <f t="shared" si="4585"/>
        <v>0</v>
      </c>
      <c r="GJ427" s="31" t="s">
        <v>203</v>
      </c>
    </row>
    <row r="428" spans="1:192" hidden="1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69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70"/>
        <v>0</v>
      </c>
      <c r="AF428" s="95">
        <f t="shared" si="4571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72"/>
        <v>11.59770545994972</v>
      </c>
      <c r="AO428" s="130" t="str">
        <f t="shared" si="4573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74"/>
        <v>нет остатка</v>
      </c>
      <c r="AW428" s="149">
        <f t="shared" si="4575"/>
        <v>0</v>
      </c>
      <c r="AX428" s="144"/>
      <c r="AY428" s="146">
        <f t="shared" si="4576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77"/>
        <v>0</v>
      </c>
      <c r="BG428" s="32">
        <v>0</v>
      </c>
      <c r="BH428" s="32">
        <f t="shared" si="4578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79"/>
        <v>2159.91</v>
      </c>
      <c r="BR428" s="95">
        <f t="shared" si="4580"/>
        <v>-2362.21</v>
      </c>
      <c r="BS428" s="133">
        <f t="shared" si="4562"/>
        <v>-4768.97</v>
      </c>
      <c r="BT428" s="133">
        <f t="shared" si="4562"/>
        <v>-6932.5</v>
      </c>
      <c r="BU428" s="133">
        <f t="shared" si="4562"/>
        <v>-9178.84</v>
      </c>
      <c r="BV428" s="133">
        <f t="shared" si="4562"/>
        <v>-11230.46</v>
      </c>
      <c r="BW428" s="133">
        <f t="shared" si="4562"/>
        <v>-12959.46</v>
      </c>
      <c r="BX428" s="133">
        <f t="shared" ref="BX428:CO431" si="4590">BW428-$BQ428</f>
        <v>-15119.369999999999</v>
      </c>
      <c r="BY428" s="133">
        <f t="shared" si="4590"/>
        <v>-17279.28</v>
      </c>
      <c r="BZ428" s="133">
        <f t="shared" si="4590"/>
        <v>-19439.189999999999</v>
      </c>
      <c r="CA428" s="133">
        <f t="shared" si="4590"/>
        <v>-21599.1</v>
      </c>
      <c r="CB428" s="133">
        <f t="shared" si="4590"/>
        <v>-23759.01</v>
      </c>
      <c r="CC428" s="133">
        <f t="shared" si="4590"/>
        <v>-25918.92</v>
      </c>
      <c r="CD428" s="133">
        <f t="shared" si="4590"/>
        <v>-28078.829999999998</v>
      </c>
      <c r="CE428" s="133">
        <f t="shared" si="4590"/>
        <v>-30238.739999999998</v>
      </c>
      <c r="CF428" s="133">
        <f t="shared" si="4590"/>
        <v>-32398.649999999998</v>
      </c>
      <c r="CG428" s="133">
        <f t="shared" si="4590"/>
        <v>-34558.559999999998</v>
      </c>
      <c r="CH428" s="133">
        <f t="shared" si="4590"/>
        <v>-36718.47</v>
      </c>
      <c r="CI428" s="133">
        <f t="shared" si="4590"/>
        <v>-38878.380000000005</v>
      </c>
      <c r="CJ428" s="133">
        <f t="shared" si="4590"/>
        <v>-41038.290000000008</v>
      </c>
      <c r="CK428" s="133">
        <f t="shared" si="4590"/>
        <v>-43198.200000000012</v>
      </c>
      <c r="CL428" s="133">
        <f t="shared" si="4590"/>
        <v>-45358.110000000015</v>
      </c>
      <c r="CM428" s="133">
        <f t="shared" si="4590"/>
        <v>-47518.020000000019</v>
      </c>
      <c r="CN428" s="133">
        <f t="shared" si="4590"/>
        <v>-49677.930000000022</v>
      </c>
      <c r="CO428" s="133">
        <f t="shared" si="4590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64"/>
        <v>0</v>
      </c>
      <c r="DB428" s="4">
        <f t="shared" si="4565"/>
        <v>0</v>
      </c>
      <c r="DC428" s="4">
        <f t="shared" si="4566"/>
        <v>0</v>
      </c>
      <c r="DD428" s="136">
        <f t="shared" si="4567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87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 t="shared" si="4448"/>
        <v>0</v>
      </c>
      <c r="FS428" s="150" t="b">
        <f t="shared" si="4449"/>
        <v>0</v>
      </c>
      <c r="FT428" s="150" t="b">
        <f t="shared" si="4450"/>
        <v>0</v>
      </c>
      <c r="FU428" s="150" t="b">
        <f t="shared" si="4451"/>
        <v>0</v>
      </c>
      <c r="FV428" s="150" t="b">
        <f t="shared" si="4452"/>
        <v>1</v>
      </c>
      <c r="FW428" s="104" t="b">
        <f t="shared" si="4472"/>
        <v>0</v>
      </c>
      <c r="FX428" s="150" t="b">
        <f t="shared" si="4582"/>
        <v>1</v>
      </c>
      <c r="FY428" s="104" t="s">
        <v>368</v>
      </c>
      <c r="FZ428" s="104" t="b">
        <f t="shared" si="4583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84"/>
        <v>1</v>
      </c>
      <c r="GI428" s="151" t="b">
        <f t="shared" si="4585"/>
        <v>0</v>
      </c>
      <c r="GJ428" s="31" t="s">
        <v>203</v>
      </c>
    </row>
    <row r="429" spans="1:192" ht="30" hidden="1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69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70"/>
        <v>0</v>
      </c>
      <c r="AF429" s="95">
        <f t="shared" si="4571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72"/>
        <v>11.59770545994972</v>
      </c>
      <c r="AO429" s="133" t="str">
        <f t="shared" si="4573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74"/>
        <v>нет остатка</v>
      </c>
      <c r="AW429" s="117">
        <f t="shared" si="4575"/>
        <v>0</v>
      </c>
      <c r="AX429" s="14"/>
      <c r="AY429" s="25">
        <f t="shared" si="4576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77"/>
        <v>0</v>
      </c>
      <c r="BG429" s="32">
        <v>0</v>
      </c>
      <c r="BH429" s="32">
        <f t="shared" si="4578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79"/>
        <v>2159.91</v>
      </c>
      <c r="BR429" s="95">
        <f t="shared" si="4580"/>
        <v>-2362.21</v>
      </c>
      <c r="BS429" s="133">
        <f t="shared" si="4562"/>
        <v>-4768.97</v>
      </c>
      <c r="BT429" s="133">
        <f t="shared" si="4562"/>
        <v>-6932.5</v>
      </c>
      <c r="BU429" s="133">
        <f t="shared" si="4562"/>
        <v>-9178.84</v>
      </c>
      <c r="BV429" s="133">
        <f t="shared" si="4562"/>
        <v>-11230.46</v>
      </c>
      <c r="BW429" s="133">
        <f t="shared" si="4562"/>
        <v>-12959.46</v>
      </c>
      <c r="BX429" s="133">
        <f t="shared" si="4590"/>
        <v>-15119.369999999999</v>
      </c>
      <c r="BY429" s="133">
        <f t="shared" si="4590"/>
        <v>-17279.28</v>
      </c>
      <c r="BZ429" s="133">
        <f t="shared" si="4590"/>
        <v>-19439.189999999999</v>
      </c>
      <c r="CA429" s="133">
        <f t="shared" si="4590"/>
        <v>-21599.1</v>
      </c>
      <c r="CB429" s="133">
        <f t="shared" si="4590"/>
        <v>-23759.01</v>
      </c>
      <c r="CC429" s="133">
        <f t="shared" si="4590"/>
        <v>-25918.92</v>
      </c>
      <c r="CD429" s="133">
        <f t="shared" si="4590"/>
        <v>-28078.829999999998</v>
      </c>
      <c r="CE429" s="133">
        <f t="shared" si="4590"/>
        <v>-30238.739999999998</v>
      </c>
      <c r="CF429" s="133">
        <f t="shared" si="4590"/>
        <v>-32398.649999999998</v>
      </c>
      <c r="CG429" s="133">
        <f t="shared" si="4590"/>
        <v>-34558.559999999998</v>
      </c>
      <c r="CH429" s="133">
        <f t="shared" si="4590"/>
        <v>-36718.47</v>
      </c>
      <c r="CI429" s="133">
        <f t="shared" si="4590"/>
        <v>-38878.380000000005</v>
      </c>
      <c r="CJ429" s="133">
        <f t="shared" si="4590"/>
        <v>-41038.290000000008</v>
      </c>
      <c r="CK429" s="133">
        <f t="shared" si="4590"/>
        <v>-43198.200000000012</v>
      </c>
      <c r="CL429" s="133">
        <f t="shared" si="4590"/>
        <v>-45358.110000000015</v>
      </c>
      <c r="CM429" s="133">
        <f t="shared" si="4590"/>
        <v>-47518.020000000019</v>
      </c>
      <c r="CN429" s="133">
        <f t="shared" si="4590"/>
        <v>-49677.930000000022</v>
      </c>
      <c r="CO429" s="133">
        <f t="shared" si="4590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64"/>
        <v>0</v>
      </c>
      <c r="DB429" s="4">
        <f t="shared" si="4565"/>
        <v>0</v>
      </c>
      <c r="DC429" s="4">
        <f t="shared" si="4566"/>
        <v>0</v>
      </c>
      <c r="DD429" s="136">
        <f t="shared" si="4567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91">BK429*$FH429</f>
        <v>1046459.03</v>
      </c>
      <c r="EQ429" s="62">
        <f t="shared" si="4591"/>
        <v>1066194.6800000002</v>
      </c>
      <c r="ER429" s="62">
        <f t="shared" si="4591"/>
        <v>958443.79</v>
      </c>
      <c r="ES429" s="62">
        <f t="shared" si="4591"/>
        <v>995128.62000000011</v>
      </c>
      <c r="ET429" s="62">
        <f t="shared" si="4591"/>
        <v>908867.65999999992</v>
      </c>
      <c r="EU429" s="62">
        <f t="shared" si="4591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87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 t="shared" si="4448"/>
        <v>1</v>
      </c>
      <c r="FS429" s="103" t="b">
        <f t="shared" si="4449"/>
        <v>1</v>
      </c>
      <c r="FT429" s="103" t="b">
        <f t="shared" si="4450"/>
        <v>0</v>
      </c>
      <c r="FU429" s="103" t="b">
        <f t="shared" si="4451"/>
        <v>0</v>
      </c>
      <c r="FV429" s="103" t="b">
        <f t="shared" si="4452"/>
        <v>1</v>
      </c>
      <c r="FW429" s="104" t="b">
        <f t="shared" si="4472"/>
        <v>0</v>
      </c>
      <c r="FX429" s="120" t="b">
        <f t="shared" si="4582"/>
        <v>1</v>
      </c>
      <c r="FY429" s="104" t="s">
        <v>368</v>
      </c>
      <c r="FZ429" s="104" t="b">
        <f t="shared" si="4583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84"/>
        <v>1</v>
      </c>
      <c r="GI429" s="8" t="b">
        <f t="shared" si="4585"/>
        <v>0</v>
      </c>
      <c r="GJ429" s="31" t="s">
        <v>203</v>
      </c>
    </row>
    <row r="430" spans="1:192" hidden="1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69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70"/>
        <v>0</v>
      </c>
      <c r="AF430" s="95">
        <f t="shared" si="4571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72"/>
        <v>44.855934462154451</v>
      </c>
      <c r="AO430" s="130" t="str">
        <f t="shared" si="4573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74"/>
        <v>0-02</v>
      </c>
      <c r="AW430" s="149">
        <f t="shared" si="4575"/>
        <v>0</v>
      </c>
      <c r="AX430" s="144"/>
      <c r="AY430" s="146">
        <f t="shared" si="4576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77"/>
        <v>0</v>
      </c>
      <c r="BG430" s="32">
        <v>0</v>
      </c>
      <c r="BH430" s="32">
        <f t="shared" si="4578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79"/>
        <v>215.62833333333333</v>
      </c>
      <c r="BR430" s="95">
        <f t="shared" si="4580"/>
        <v>386.41001220703123</v>
      </c>
      <c r="BS430" s="133">
        <f t="shared" si="4562"/>
        <v>-59.649987792968773</v>
      </c>
      <c r="BT430" s="133">
        <f t="shared" si="4562"/>
        <v>-206.93998779296876</v>
      </c>
      <c r="BU430" s="133">
        <f t="shared" si="4562"/>
        <v>-364.64998779296877</v>
      </c>
      <c r="BV430" s="133">
        <f t="shared" si="4562"/>
        <v>-498.1199877929688</v>
      </c>
      <c r="BW430" s="133">
        <f t="shared" si="4562"/>
        <v>-621.06998779296885</v>
      </c>
      <c r="BX430" s="133">
        <f t="shared" si="4590"/>
        <v>-836.69832112630218</v>
      </c>
      <c r="BY430" s="133">
        <f t="shared" si="4590"/>
        <v>-1052.3266544596354</v>
      </c>
      <c r="BZ430" s="133">
        <f t="shared" si="4590"/>
        <v>-1267.9549877929687</v>
      </c>
      <c r="CA430" s="133">
        <f t="shared" si="4590"/>
        <v>-1483.5833211263021</v>
      </c>
      <c r="CB430" s="133">
        <f t="shared" si="4590"/>
        <v>-1699.2116544596354</v>
      </c>
      <c r="CC430" s="133">
        <f t="shared" si="4590"/>
        <v>-1914.8399877929687</v>
      </c>
      <c r="CD430" s="133">
        <f t="shared" si="4590"/>
        <v>-2130.4683211263018</v>
      </c>
      <c r="CE430" s="133">
        <f t="shared" si="4590"/>
        <v>-2346.0966544596349</v>
      </c>
      <c r="CF430" s="133">
        <f t="shared" si="4590"/>
        <v>-2561.724987792968</v>
      </c>
      <c r="CG430" s="133">
        <f t="shared" si="4590"/>
        <v>-2777.3533211263011</v>
      </c>
      <c r="CH430" s="133">
        <f t="shared" si="4590"/>
        <v>-2992.9816544596342</v>
      </c>
      <c r="CI430" s="133">
        <f t="shared" si="4590"/>
        <v>-3208.6099877929673</v>
      </c>
      <c r="CJ430" s="133">
        <f t="shared" si="4590"/>
        <v>-3424.2383211263004</v>
      </c>
      <c r="CK430" s="133">
        <f t="shared" si="4590"/>
        <v>-3639.8666544596335</v>
      </c>
      <c r="CL430" s="133">
        <f t="shared" si="4590"/>
        <v>-3855.4949877929666</v>
      </c>
      <c r="CM430" s="133">
        <f t="shared" si="4590"/>
        <v>-4071.1233211262997</v>
      </c>
      <c r="CN430" s="133">
        <f t="shared" si="4590"/>
        <v>-4286.7516544596328</v>
      </c>
      <c r="CO430" s="133">
        <f t="shared" si="4590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64"/>
        <v>0</v>
      </c>
      <c r="DB430" s="4">
        <f t="shared" si="4565"/>
        <v>0</v>
      </c>
      <c r="DC430" s="4">
        <f t="shared" si="4566"/>
        <v>0</v>
      </c>
      <c r="DD430" s="136">
        <f t="shared" si="4567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87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 t="shared" si="4448"/>
        <v>0</v>
      </c>
      <c r="FS430" s="150" t="b">
        <f t="shared" si="4449"/>
        <v>0</v>
      </c>
      <c r="FT430" s="150" t="b">
        <f t="shared" si="4450"/>
        <v>0</v>
      </c>
      <c r="FU430" s="150" t="b">
        <f t="shared" si="4451"/>
        <v>0</v>
      </c>
      <c r="FV430" s="150" t="b">
        <f t="shared" si="4452"/>
        <v>1</v>
      </c>
      <c r="FW430" s="104" t="b">
        <f t="shared" si="4472"/>
        <v>0</v>
      </c>
      <c r="FX430" s="150" t="b">
        <f t="shared" si="4582"/>
        <v>1</v>
      </c>
      <c r="FY430" s="104" t="s">
        <v>368</v>
      </c>
      <c r="FZ430" s="104" t="b">
        <f t="shared" si="4583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84"/>
        <v>1</v>
      </c>
      <c r="GI430" s="151" t="b">
        <f t="shared" si="4585"/>
        <v>0</v>
      </c>
      <c r="GJ430" s="31" t="s">
        <v>203</v>
      </c>
    </row>
    <row r="431" spans="1:192" ht="60" hidden="1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69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70"/>
        <v>0</v>
      </c>
      <c r="AF431" s="95">
        <f t="shared" si="4571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72"/>
        <v>44.855934462154451</v>
      </c>
      <c r="AO431" s="133" t="str">
        <f t="shared" si="4573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74"/>
        <v>0-02</v>
      </c>
      <c r="AW431" s="117">
        <f t="shared" si="4575"/>
        <v>0</v>
      </c>
      <c r="AX431" s="14"/>
      <c r="AY431" s="25">
        <f t="shared" si="4576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77"/>
        <v>0</v>
      </c>
      <c r="BG431" s="32">
        <v>0</v>
      </c>
      <c r="BH431" s="32">
        <f t="shared" si="4578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79"/>
        <v>215.62833333333333</v>
      </c>
      <c r="BR431" s="95">
        <f t="shared" si="4580"/>
        <v>386.41001220703123</v>
      </c>
      <c r="BS431" s="133">
        <f t="shared" si="4562"/>
        <v>-59.649987792968773</v>
      </c>
      <c r="BT431" s="133">
        <f t="shared" si="4562"/>
        <v>-206.93998779296876</v>
      </c>
      <c r="BU431" s="133">
        <f t="shared" si="4562"/>
        <v>-364.64998779296877</v>
      </c>
      <c r="BV431" s="133">
        <f t="shared" si="4562"/>
        <v>-498.1199877929688</v>
      </c>
      <c r="BW431" s="133">
        <f t="shared" si="4562"/>
        <v>-621.06998779296885</v>
      </c>
      <c r="BX431" s="133">
        <f t="shared" si="4590"/>
        <v>-836.69832112630218</v>
      </c>
      <c r="BY431" s="133">
        <f t="shared" si="4590"/>
        <v>-1052.3266544596354</v>
      </c>
      <c r="BZ431" s="133">
        <f t="shared" si="4590"/>
        <v>-1267.9549877929687</v>
      </c>
      <c r="CA431" s="133">
        <f t="shared" si="4590"/>
        <v>-1483.5833211263021</v>
      </c>
      <c r="CB431" s="133">
        <f t="shared" si="4590"/>
        <v>-1699.2116544596354</v>
      </c>
      <c r="CC431" s="133">
        <f t="shared" si="4590"/>
        <v>-1914.8399877929687</v>
      </c>
      <c r="CD431" s="133">
        <f t="shared" si="4590"/>
        <v>-2130.4683211263018</v>
      </c>
      <c r="CE431" s="133">
        <f t="shared" si="4590"/>
        <v>-2346.0966544596349</v>
      </c>
      <c r="CF431" s="133">
        <f t="shared" si="4590"/>
        <v>-2561.724987792968</v>
      </c>
      <c r="CG431" s="133">
        <f t="shared" si="4590"/>
        <v>-2777.3533211263011</v>
      </c>
      <c r="CH431" s="133">
        <f t="shared" si="4590"/>
        <v>-2992.9816544596342</v>
      </c>
      <c r="CI431" s="133">
        <f t="shared" si="4590"/>
        <v>-3208.6099877929673</v>
      </c>
      <c r="CJ431" s="133">
        <f t="shared" si="4590"/>
        <v>-3424.2383211263004</v>
      </c>
      <c r="CK431" s="133">
        <f t="shared" si="4590"/>
        <v>-3639.8666544596335</v>
      </c>
      <c r="CL431" s="133">
        <f t="shared" si="4590"/>
        <v>-3855.4949877929666</v>
      </c>
      <c r="CM431" s="133">
        <f t="shared" si="4590"/>
        <v>-4071.1233211262997</v>
      </c>
      <c r="CN431" s="133">
        <f t="shared" si="4590"/>
        <v>-4286.7516544596328</v>
      </c>
      <c r="CO431" s="133">
        <f t="shared" si="4590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64"/>
        <v>0</v>
      </c>
      <c r="DB431" s="4">
        <f t="shared" si="4565"/>
        <v>0</v>
      </c>
      <c r="DC431" s="4">
        <f t="shared" si="4566"/>
        <v>0</v>
      </c>
      <c r="DD431" s="136">
        <f t="shared" si="4567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92">BK431*$FH431</f>
        <v>255974.75190000003</v>
      </c>
      <c r="EQ431" s="62">
        <f t="shared" si="4592"/>
        <v>398826.70660000003</v>
      </c>
      <c r="ER431" s="62">
        <f t="shared" si="4592"/>
        <v>131693.46189999999</v>
      </c>
      <c r="ES431" s="62">
        <f t="shared" si="4592"/>
        <v>141010.08810000002</v>
      </c>
      <c r="ET431" s="62">
        <f t="shared" si="4592"/>
        <v>119336.86169999999</v>
      </c>
      <c r="EU431" s="62">
        <f t="shared" si="4592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87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 t="shared" si="4448"/>
        <v>1</v>
      </c>
      <c r="FS431" s="103" t="b">
        <f t="shared" si="4449"/>
        <v>1</v>
      </c>
      <c r="FT431" s="103" t="b">
        <f t="shared" si="4450"/>
        <v>1</v>
      </c>
      <c r="FU431" s="103" t="b">
        <f t="shared" si="4451"/>
        <v>0</v>
      </c>
      <c r="FV431" s="103" t="b">
        <f t="shared" si="4452"/>
        <v>1</v>
      </c>
      <c r="FW431" s="104" t="b">
        <f t="shared" si="4472"/>
        <v>0</v>
      </c>
      <c r="FX431" s="120" t="b">
        <f t="shared" si="4582"/>
        <v>1</v>
      </c>
      <c r="FY431" s="104" t="s">
        <v>368</v>
      </c>
      <c r="FZ431" s="104" t="b">
        <f t="shared" si="4583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84"/>
        <v>1</v>
      </c>
      <c r="GI431" s="8" t="b">
        <f t="shared" si="4585"/>
        <v>0</v>
      </c>
      <c r="GJ431" s="31" t="s">
        <v>203</v>
      </c>
    </row>
    <row r="432" spans="1:192" hidden="1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69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70"/>
        <v>0</v>
      </c>
      <c r="AF432" s="95">
        <f t="shared" si="4571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72"/>
        <v>65.722178642266556</v>
      </c>
      <c r="AO432" s="130" t="str">
        <f t="shared" si="4573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74"/>
        <v>0-05</v>
      </c>
      <c r="AW432" s="149">
        <f t="shared" si="4575"/>
        <v>0</v>
      </c>
      <c r="AX432" s="144"/>
      <c r="AY432" s="146">
        <f t="shared" si="4576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77"/>
        <v>0</v>
      </c>
      <c r="BG432" s="32">
        <v>0</v>
      </c>
      <c r="BH432" s="32">
        <f t="shared" si="4578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79"/>
        <v>140.88166666666663</v>
      </c>
      <c r="BR432" s="95">
        <f t="shared" si="4580"/>
        <v>454.56997558593753</v>
      </c>
      <c r="BS432" s="133">
        <f t="shared" si="4562"/>
        <v>331.93997558593753</v>
      </c>
      <c r="BT432" s="133">
        <f t="shared" si="4562"/>
        <v>178.79997558593755</v>
      </c>
      <c r="BU432" s="133">
        <f t="shared" si="4562"/>
        <v>34.239975585937543</v>
      </c>
      <c r="BV432" s="133">
        <f t="shared" si="4562"/>
        <v>-110.06002441406247</v>
      </c>
      <c r="BW432" s="133">
        <f t="shared" si="4562"/>
        <v>-193.69002441406246</v>
      </c>
      <c r="BX432" s="133">
        <f t="shared" ref="BX432:CO436" si="4593">BW432-$BQ432</f>
        <v>-334.57169108072912</v>
      </c>
      <c r="BY432" s="133">
        <f t="shared" si="4593"/>
        <v>-475.45335774739578</v>
      </c>
      <c r="BZ432" s="133">
        <f t="shared" si="4593"/>
        <v>-616.33502441406245</v>
      </c>
      <c r="CA432" s="133">
        <f t="shared" si="4593"/>
        <v>-757.21669108072911</v>
      </c>
      <c r="CB432" s="133">
        <f t="shared" si="4593"/>
        <v>-898.09835774739577</v>
      </c>
      <c r="CC432" s="133">
        <f t="shared" si="4593"/>
        <v>-1038.9800244140624</v>
      </c>
      <c r="CD432" s="133">
        <f t="shared" si="4593"/>
        <v>-1179.8616910807291</v>
      </c>
      <c r="CE432" s="133">
        <f t="shared" si="4593"/>
        <v>-1320.7433577473957</v>
      </c>
      <c r="CF432" s="133">
        <f t="shared" si="4593"/>
        <v>-1461.6250244140624</v>
      </c>
      <c r="CG432" s="133">
        <f t="shared" si="4593"/>
        <v>-1602.5066910807291</v>
      </c>
      <c r="CH432" s="133">
        <f t="shared" si="4593"/>
        <v>-1743.3883577473957</v>
      </c>
      <c r="CI432" s="133">
        <f t="shared" si="4593"/>
        <v>-1884.2700244140624</v>
      </c>
      <c r="CJ432" s="133">
        <f t="shared" si="4593"/>
        <v>-2025.1516910807291</v>
      </c>
      <c r="CK432" s="133">
        <f t="shared" si="4593"/>
        <v>-2166.0333577473957</v>
      </c>
      <c r="CL432" s="133">
        <f t="shared" si="4593"/>
        <v>-2306.9150244140624</v>
      </c>
      <c r="CM432" s="133">
        <f t="shared" si="4593"/>
        <v>-2447.796691080729</v>
      </c>
      <c r="CN432" s="133">
        <f t="shared" si="4593"/>
        <v>-2588.6783577473957</v>
      </c>
      <c r="CO432" s="133">
        <f t="shared" si="4593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64"/>
        <v>0</v>
      </c>
      <c r="DB432" s="4">
        <f t="shared" si="4565"/>
        <v>0</v>
      </c>
      <c r="DC432" s="4">
        <f t="shared" si="4566"/>
        <v>0</v>
      </c>
      <c r="DD432" s="136">
        <f t="shared" si="4567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87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 t="shared" si="4448"/>
        <v>0</v>
      </c>
      <c r="FS432" s="150" t="b">
        <f t="shared" si="4449"/>
        <v>0</v>
      </c>
      <c r="FT432" s="150" t="b">
        <f t="shared" si="4450"/>
        <v>0</v>
      </c>
      <c r="FU432" s="150" t="b">
        <f t="shared" si="4451"/>
        <v>0</v>
      </c>
      <c r="FV432" s="150" t="b">
        <f t="shared" si="4452"/>
        <v>1</v>
      </c>
      <c r="FW432" s="104" t="b">
        <f t="shared" si="4472"/>
        <v>0</v>
      </c>
      <c r="FX432" s="150" t="b">
        <f t="shared" si="4582"/>
        <v>1</v>
      </c>
      <c r="FY432" s="104" t="s">
        <v>368</v>
      </c>
      <c r="FZ432" s="104" t="b">
        <f t="shared" si="4583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84"/>
        <v>1</v>
      </c>
      <c r="GI432" s="151" t="b">
        <f t="shared" si="4585"/>
        <v>0</v>
      </c>
      <c r="GJ432" s="31" t="s">
        <v>203</v>
      </c>
    </row>
    <row r="433" spans="1:192" hidden="1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69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70"/>
        <v>0</v>
      </c>
      <c r="AF433" s="95">
        <f t="shared" si="4571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72"/>
        <v>65.722178642266556</v>
      </c>
      <c r="AO433" s="133" t="str">
        <f t="shared" si="4573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74"/>
        <v>0-05</v>
      </c>
      <c r="AW433" s="117">
        <f t="shared" si="4575"/>
        <v>0</v>
      </c>
      <c r="AX433" s="14"/>
      <c r="AY433" s="25">
        <f t="shared" si="4576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77"/>
        <v>0</v>
      </c>
      <c r="BG433" s="32">
        <v>0</v>
      </c>
      <c r="BH433" s="32">
        <f t="shared" si="4578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79"/>
        <v>140.88166666666663</v>
      </c>
      <c r="BR433" s="95">
        <f t="shared" si="4580"/>
        <v>454.56997558593753</v>
      </c>
      <c r="BS433" s="133">
        <f t="shared" si="4562"/>
        <v>331.93997558593753</v>
      </c>
      <c r="BT433" s="133">
        <f t="shared" si="4562"/>
        <v>178.79997558593755</v>
      </c>
      <c r="BU433" s="133">
        <f t="shared" si="4562"/>
        <v>34.239975585937543</v>
      </c>
      <c r="BV433" s="133">
        <f t="shared" si="4562"/>
        <v>-110.06002441406247</v>
      </c>
      <c r="BW433" s="133">
        <f t="shared" si="4562"/>
        <v>-193.69002441406246</v>
      </c>
      <c r="BX433" s="133">
        <f t="shared" si="4593"/>
        <v>-334.57169108072912</v>
      </c>
      <c r="BY433" s="133">
        <f t="shared" si="4593"/>
        <v>-475.45335774739578</v>
      </c>
      <c r="BZ433" s="133">
        <f t="shared" si="4593"/>
        <v>-616.33502441406245</v>
      </c>
      <c r="CA433" s="133">
        <f t="shared" si="4593"/>
        <v>-757.21669108072911</v>
      </c>
      <c r="CB433" s="133">
        <f t="shared" si="4593"/>
        <v>-898.09835774739577</v>
      </c>
      <c r="CC433" s="133">
        <f t="shared" si="4593"/>
        <v>-1038.9800244140624</v>
      </c>
      <c r="CD433" s="133">
        <f t="shared" si="4593"/>
        <v>-1179.8616910807291</v>
      </c>
      <c r="CE433" s="133">
        <f t="shared" si="4593"/>
        <v>-1320.7433577473957</v>
      </c>
      <c r="CF433" s="133">
        <f t="shared" si="4593"/>
        <v>-1461.6250244140624</v>
      </c>
      <c r="CG433" s="133">
        <f t="shared" si="4593"/>
        <v>-1602.5066910807291</v>
      </c>
      <c r="CH433" s="133">
        <f t="shared" si="4593"/>
        <v>-1743.3883577473957</v>
      </c>
      <c r="CI433" s="133">
        <f t="shared" si="4593"/>
        <v>-1884.2700244140624</v>
      </c>
      <c r="CJ433" s="133">
        <f t="shared" si="4593"/>
        <v>-2025.1516910807291</v>
      </c>
      <c r="CK433" s="133">
        <f t="shared" si="4593"/>
        <v>-2166.0333577473957</v>
      </c>
      <c r="CL433" s="133">
        <f t="shared" si="4593"/>
        <v>-2306.9150244140624</v>
      </c>
      <c r="CM433" s="133">
        <f t="shared" si="4593"/>
        <v>-2447.796691080729</v>
      </c>
      <c r="CN433" s="133">
        <f t="shared" si="4593"/>
        <v>-2588.6783577473957</v>
      </c>
      <c r="CO433" s="133">
        <f t="shared" si="4593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64"/>
        <v>0</v>
      </c>
      <c r="DB433" s="4">
        <f t="shared" si="4565"/>
        <v>0</v>
      </c>
      <c r="DC433" s="4">
        <f t="shared" si="4566"/>
        <v>0</v>
      </c>
      <c r="DD433" s="136">
        <f t="shared" si="4567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94">BK433*$FH433</f>
        <v>151135.8021</v>
      </c>
      <c r="EQ433" s="62">
        <f t="shared" si="4594"/>
        <v>94065.794099999999</v>
      </c>
      <c r="ER433" s="62">
        <f t="shared" si="4594"/>
        <v>117469.0998</v>
      </c>
      <c r="ES433" s="62">
        <f t="shared" si="4594"/>
        <v>110887.63920000001</v>
      </c>
      <c r="ET433" s="62">
        <f t="shared" si="4594"/>
        <v>110688.20100000002</v>
      </c>
      <c r="EU433" s="62">
        <f t="shared" si="4594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87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 t="shared" si="4448"/>
        <v>1</v>
      </c>
      <c r="FS433" s="103" t="b">
        <f t="shared" si="4449"/>
        <v>1</v>
      </c>
      <c r="FT433" s="103" t="b">
        <f t="shared" si="4450"/>
        <v>0</v>
      </c>
      <c r="FU433" s="103" t="b">
        <f t="shared" si="4451"/>
        <v>0</v>
      </c>
      <c r="FV433" s="103" t="b">
        <f t="shared" si="4452"/>
        <v>1</v>
      </c>
      <c r="FW433" s="104" t="b">
        <f t="shared" si="4472"/>
        <v>0</v>
      </c>
      <c r="FX433" s="120" t="b">
        <f t="shared" si="4582"/>
        <v>1</v>
      </c>
      <c r="FY433" s="104" t="s">
        <v>368</v>
      </c>
      <c r="FZ433" s="104" t="b">
        <f t="shared" si="4583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84"/>
        <v>1</v>
      </c>
      <c r="GI433" s="8" t="b">
        <f t="shared" si="4585"/>
        <v>0</v>
      </c>
      <c r="GJ433" s="31" t="s">
        <v>203</v>
      </c>
    </row>
    <row r="434" spans="1:192" hidden="1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69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70"/>
        <v>0</v>
      </c>
      <c r="AF434" s="95">
        <f t="shared" si="4571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72"/>
        <v>34.490606179065431</v>
      </c>
      <c r="AO434" s="130" t="str">
        <f t="shared" si="4573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74"/>
        <v>0-02</v>
      </c>
      <c r="AW434" s="149">
        <f t="shared" si="4575"/>
        <v>0</v>
      </c>
      <c r="AX434" s="144"/>
      <c r="AY434" s="146">
        <f t="shared" si="4576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77"/>
        <v>0</v>
      </c>
      <c r="BG434" s="32">
        <v>0</v>
      </c>
      <c r="BH434" s="32">
        <f t="shared" si="4578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79"/>
        <v>2564.6983333333333</v>
      </c>
      <c r="BR434" s="95">
        <f t="shared" si="4580"/>
        <v>1713.8259980485682</v>
      </c>
      <c r="BS434" s="133">
        <f t="shared" si="4562"/>
        <v>-788.27400195143173</v>
      </c>
      <c r="BT434" s="133">
        <f t="shared" si="4562"/>
        <v>-3535.0140019514315</v>
      </c>
      <c r="BU434" s="133">
        <f t="shared" si="4562"/>
        <v>-6230.4940019514315</v>
      </c>
      <c r="BV434" s="133">
        <f t="shared" si="4562"/>
        <v>-8779.5540019514319</v>
      </c>
      <c r="BW434" s="133">
        <f t="shared" si="4562"/>
        <v>-11078.324001951432</v>
      </c>
      <c r="BX434" s="133">
        <f t="shared" si="4593"/>
        <v>-13643.022335284766</v>
      </c>
      <c r="BY434" s="133">
        <f t="shared" si="4593"/>
        <v>-16207.7206686181</v>
      </c>
      <c r="BZ434" s="133">
        <f t="shared" si="4593"/>
        <v>-18772.419001951432</v>
      </c>
      <c r="CA434" s="133">
        <f t="shared" si="4593"/>
        <v>-21337.117335284765</v>
      </c>
      <c r="CB434" s="133">
        <f t="shared" si="4593"/>
        <v>-23901.815668618099</v>
      </c>
      <c r="CC434" s="133">
        <f t="shared" si="4593"/>
        <v>-26466.514001951433</v>
      </c>
      <c r="CD434" s="133">
        <f t="shared" si="4593"/>
        <v>-29031.212335284767</v>
      </c>
      <c r="CE434" s="133">
        <f t="shared" si="4593"/>
        <v>-31595.9106686181</v>
      </c>
      <c r="CF434" s="133">
        <f t="shared" si="4593"/>
        <v>-34160.60900195143</v>
      </c>
      <c r="CG434" s="133">
        <f t="shared" si="4593"/>
        <v>-36725.307335284764</v>
      </c>
      <c r="CH434" s="133">
        <f t="shared" si="4593"/>
        <v>-39290.005668618098</v>
      </c>
      <c r="CI434" s="133">
        <f t="shared" si="4593"/>
        <v>-41854.704001951432</v>
      </c>
      <c r="CJ434" s="133">
        <f t="shared" si="4593"/>
        <v>-44419.402335284765</v>
      </c>
      <c r="CK434" s="133">
        <f t="shared" si="4593"/>
        <v>-46984.100668618099</v>
      </c>
      <c r="CL434" s="133">
        <f t="shared" si="4593"/>
        <v>-49548.799001951433</v>
      </c>
      <c r="CM434" s="133">
        <f t="shared" si="4593"/>
        <v>-52113.497335284766</v>
      </c>
      <c r="CN434" s="133">
        <f t="shared" si="4593"/>
        <v>-54678.1956686181</v>
      </c>
      <c r="CO434" s="133">
        <f t="shared" si="4593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64"/>
        <v>0</v>
      </c>
      <c r="DB434" s="4">
        <f t="shared" si="4565"/>
        <v>0</v>
      </c>
      <c r="DC434" s="4">
        <f t="shared" si="4566"/>
        <v>0</v>
      </c>
      <c r="DD434" s="136">
        <f t="shared" si="4567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87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 t="shared" si="4448"/>
        <v>0</v>
      </c>
      <c r="FS434" s="150" t="b">
        <f t="shared" si="4449"/>
        <v>0</v>
      </c>
      <c r="FT434" s="150" t="b">
        <f t="shared" si="4450"/>
        <v>0</v>
      </c>
      <c r="FU434" s="150" t="b">
        <f t="shared" si="4451"/>
        <v>0</v>
      </c>
      <c r="FV434" s="150" t="b">
        <f t="shared" si="4452"/>
        <v>1</v>
      </c>
      <c r="FW434" s="104" t="b">
        <f t="shared" si="4472"/>
        <v>0</v>
      </c>
      <c r="FX434" s="150" t="b">
        <f t="shared" si="4582"/>
        <v>1</v>
      </c>
      <c r="FY434" s="104" t="s">
        <v>368</v>
      </c>
      <c r="FZ434" s="104" t="b">
        <f t="shared" si="4583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84"/>
        <v>1</v>
      </c>
      <c r="GI434" s="151" t="b">
        <f t="shared" si="4585"/>
        <v>0</v>
      </c>
      <c r="GJ434" s="31" t="s">
        <v>203</v>
      </c>
    </row>
    <row r="435" spans="1:192" ht="30" hidden="1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69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70"/>
        <v>0</v>
      </c>
      <c r="AF435" s="95">
        <f t="shared" si="4571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72"/>
        <v>34.490695834043272</v>
      </c>
      <c r="AO435" s="133" t="str">
        <f t="shared" si="4573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74"/>
        <v>0-02</v>
      </c>
      <c r="AW435" s="117">
        <f t="shared" si="4575"/>
        <v>0</v>
      </c>
      <c r="AX435" s="14"/>
      <c r="AY435" s="25">
        <f t="shared" si="4576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77"/>
        <v>0</v>
      </c>
      <c r="BG435" s="32">
        <v>0</v>
      </c>
      <c r="BH435" s="32">
        <f t="shared" si="4578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79"/>
        <v>2564.6916666666662</v>
      </c>
      <c r="BR435" s="95">
        <f t="shared" si="4580"/>
        <v>1713.8259980485682</v>
      </c>
      <c r="BS435" s="133">
        <f t="shared" si="4562"/>
        <v>-788.27400195143173</v>
      </c>
      <c r="BT435" s="133">
        <f t="shared" si="4562"/>
        <v>-3535.0140019514315</v>
      </c>
      <c r="BU435" s="133">
        <f t="shared" si="4562"/>
        <v>-6230.4940019514315</v>
      </c>
      <c r="BV435" s="133">
        <f t="shared" si="4562"/>
        <v>-8779.5540019514319</v>
      </c>
      <c r="BW435" s="133">
        <f t="shared" si="4562"/>
        <v>-11078.284001951431</v>
      </c>
      <c r="BX435" s="133">
        <f t="shared" si="4593"/>
        <v>-13642.975668618097</v>
      </c>
      <c r="BY435" s="133">
        <f t="shared" si="4593"/>
        <v>-16207.667335284763</v>
      </c>
      <c r="BZ435" s="133">
        <f t="shared" si="4593"/>
        <v>-18772.35900195143</v>
      </c>
      <c r="CA435" s="133">
        <f t="shared" si="4593"/>
        <v>-21337.050668618096</v>
      </c>
      <c r="CB435" s="133">
        <f t="shared" si="4593"/>
        <v>-23901.742335284762</v>
      </c>
      <c r="CC435" s="133">
        <f t="shared" si="4593"/>
        <v>-26466.434001951427</v>
      </c>
      <c r="CD435" s="133">
        <f t="shared" si="4593"/>
        <v>-29031.125668618093</v>
      </c>
      <c r="CE435" s="133">
        <f t="shared" si="4593"/>
        <v>-31595.817335284759</v>
      </c>
      <c r="CF435" s="133">
        <f t="shared" si="4593"/>
        <v>-34160.509001951425</v>
      </c>
      <c r="CG435" s="133">
        <f t="shared" si="4593"/>
        <v>-36725.20066861809</v>
      </c>
      <c r="CH435" s="133">
        <f t="shared" si="4593"/>
        <v>-39289.892335284756</v>
      </c>
      <c r="CI435" s="133">
        <f t="shared" si="4593"/>
        <v>-41854.584001951422</v>
      </c>
      <c r="CJ435" s="133">
        <f t="shared" si="4593"/>
        <v>-44419.275668618087</v>
      </c>
      <c r="CK435" s="133">
        <f t="shared" si="4593"/>
        <v>-46983.967335284753</v>
      </c>
      <c r="CL435" s="133">
        <f t="shared" si="4593"/>
        <v>-49548.659001951419</v>
      </c>
      <c r="CM435" s="133">
        <f t="shared" si="4593"/>
        <v>-52113.350668618084</v>
      </c>
      <c r="CN435" s="133">
        <f t="shared" si="4593"/>
        <v>-54678.04233528475</v>
      </c>
      <c r="CO435" s="133">
        <f t="shared" si="4593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64"/>
        <v>0</v>
      </c>
      <c r="DB435" s="4">
        <f t="shared" si="4565"/>
        <v>0</v>
      </c>
      <c r="DC435" s="4">
        <f t="shared" si="4566"/>
        <v>0</v>
      </c>
      <c r="DD435" s="136">
        <f t="shared" si="4567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95">BK435*$FH435</f>
        <v>386290.75200000004</v>
      </c>
      <c r="EQ435" s="62">
        <f t="shared" si="4595"/>
        <v>372312.48000000004</v>
      </c>
      <c r="ER435" s="62">
        <f t="shared" si="4595"/>
        <v>408714.91200000001</v>
      </c>
      <c r="ES435" s="62">
        <f t="shared" si="4595"/>
        <v>401087.42400000006</v>
      </c>
      <c r="ET435" s="62">
        <f t="shared" si="4595"/>
        <v>379300.12800000003</v>
      </c>
      <c r="EU435" s="62">
        <f t="shared" si="4595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87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 t="shared" si="4448"/>
        <v>1</v>
      </c>
      <c r="FS435" s="103" t="b">
        <f t="shared" si="4449"/>
        <v>1</v>
      </c>
      <c r="FT435" s="103" t="b">
        <f t="shared" si="4450"/>
        <v>1</v>
      </c>
      <c r="FU435" s="103" t="b">
        <f t="shared" si="4451"/>
        <v>0</v>
      </c>
      <c r="FV435" s="103" t="b">
        <f t="shared" si="4452"/>
        <v>1</v>
      </c>
      <c r="FW435" s="104" t="b">
        <f t="shared" si="4472"/>
        <v>0</v>
      </c>
      <c r="FX435" s="120" t="b">
        <f t="shared" si="4582"/>
        <v>1</v>
      </c>
      <c r="FY435" s="104" t="s">
        <v>368</v>
      </c>
      <c r="FZ435" s="104" t="b">
        <f t="shared" si="4583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84"/>
        <v>1</v>
      </c>
      <c r="GI435" s="8" t="b">
        <f t="shared" si="4585"/>
        <v>0</v>
      </c>
      <c r="GJ435" s="31" t="s">
        <v>203</v>
      </c>
    </row>
    <row r="436" spans="1:192" hidden="1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69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70"/>
        <v>0</v>
      </c>
      <c r="AF436" s="95">
        <f t="shared" si="4571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72"/>
        <v>0</v>
      </c>
      <c r="AO436" s="133" t="str">
        <f t="shared" si="4573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74"/>
        <v>нет остатка</v>
      </c>
      <c r="AW436" s="117">
        <f t="shared" si="4575"/>
        <v>0</v>
      </c>
      <c r="AX436" s="14"/>
      <c r="AY436" s="25">
        <f t="shared" si="4576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77"/>
        <v>0</v>
      </c>
      <c r="BG436" s="32">
        <v>0</v>
      </c>
      <c r="BH436" s="32">
        <f t="shared" si="4578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79"/>
        <v>0.04</v>
      </c>
      <c r="BR436" s="95">
        <f t="shared" si="4580"/>
        <v>0</v>
      </c>
      <c r="BS436" s="133">
        <f t="shared" ref="BS436:BW446" si="4596">BR436-BL436</f>
        <v>0</v>
      </c>
      <c r="BT436" s="133">
        <f t="shared" si="4596"/>
        <v>0</v>
      </c>
      <c r="BU436" s="133">
        <f t="shared" si="4596"/>
        <v>0</v>
      </c>
      <c r="BV436" s="133">
        <f t="shared" si="4596"/>
        <v>0</v>
      </c>
      <c r="BW436" s="133">
        <f t="shared" si="4596"/>
        <v>-0.04</v>
      </c>
      <c r="BX436" s="133">
        <f t="shared" si="4593"/>
        <v>-0.08</v>
      </c>
      <c r="BY436" s="133">
        <f t="shared" si="4593"/>
        <v>-0.12</v>
      </c>
      <c r="BZ436" s="133">
        <f t="shared" si="4593"/>
        <v>-0.16</v>
      </c>
      <c r="CA436" s="133">
        <f t="shared" si="4593"/>
        <v>-0.2</v>
      </c>
      <c r="CB436" s="133">
        <f t="shared" si="4593"/>
        <v>-0.24000000000000002</v>
      </c>
      <c r="CC436" s="133">
        <f t="shared" si="4593"/>
        <v>-0.28000000000000003</v>
      </c>
      <c r="CD436" s="133">
        <f t="shared" si="4593"/>
        <v>-0.32</v>
      </c>
      <c r="CE436" s="133">
        <f t="shared" si="4593"/>
        <v>-0.36</v>
      </c>
      <c r="CF436" s="133">
        <f t="shared" si="4593"/>
        <v>-0.39999999999999997</v>
      </c>
      <c r="CG436" s="133">
        <f t="shared" si="4593"/>
        <v>-0.43999999999999995</v>
      </c>
      <c r="CH436" s="133">
        <f t="shared" si="4593"/>
        <v>-0.47999999999999993</v>
      </c>
      <c r="CI436" s="133">
        <f t="shared" si="4593"/>
        <v>-0.51999999999999991</v>
      </c>
      <c r="CJ436" s="133">
        <f t="shared" si="4593"/>
        <v>-0.55999999999999994</v>
      </c>
      <c r="CK436" s="133">
        <f t="shared" si="4593"/>
        <v>-0.6</v>
      </c>
      <c r="CL436" s="133">
        <f t="shared" si="4593"/>
        <v>-0.64</v>
      </c>
      <c r="CM436" s="133">
        <f t="shared" si="4593"/>
        <v>-0.68</v>
      </c>
      <c r="CN436" s="133">
        <f t="shared" si="4593"/>
        <v>-0.72000000000000008</v>
      </c>
      <c r="CO436" s="133">
        <f t="shared" si="4593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64"/>
        <v>0</v>
      </c>
      <c r="DB436" s="4">
        <f t="shared" si="4565"/>
        <v>0</v>
      </c>
      <c r="DC436" s="4">
        <f t="shared" si="4566"/>
        <v>0</v>
      </c>
      <c r="DD436" s="136">
        <f t="shared" si="4567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95"/>
        <v>0</v>
      </c>
      <c r="EQ436" s="62">
        <f t="shared" si="4595"/>
        <v>0</v>
      </c>
      <c r="ER436" s="62">
        <f t="shared" si="4595"/>
        <v>0</v>
      </c>
      <c r="ES436" s="62">
        <f t="shared" si="4595"/>
        <v>0</v>
      </c>
      <c r="ET436" s="62">
        <f t="shared" si="4595"/>
        <v>0</v>
      </c>
      <c r="EU436" s="62">
        <f t="shared" si="4595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87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 t="shared" si="4448"/>
        <v>1</v>
      </c>
      <c r="FS436" s="103" t="b">
        <f t="shared" si="4449"/>
        <v>1</v>
      </c>
      <c r="FT436" s="103" t="b">
        <f t="shared" si="4450"/>
        <v>1</v>
      </c>
      <c r="FU436" s="103" t="b">
        <f t="shared" si="4451"/>
        <v>1</v>
      </c>
      <c r="FV436" s="103" t="b">
        <f t="shared" si="4452"/>
        <v>1</v>
      </c>
      <c r="FW436" s="104" t="b">
        <f t="shared" si="4472"/>
        <v>0</v>
      </c>
      <c r="FX436" s="120" t="b">
        <f t="shared" si="4582"/>
        <v>1</v>
      </c>
      <c r="FY436" s="104" t="s">
        <v>368</v>
      </c>
      <c r="FZ436" s="104" t="b">
        <f t="shared" si="4583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84"/>
        <v>1</v>
      </c>
      <c r="GI436" s="8" t="b">
        <f t="shared" si="4585"/>
        <v>0</v>
      </c>
      <c r="GJ436" s="31" t="s">
        <v>203</v>
      </c>
    </row>
    <row r="437" spans="1:192" hidden="1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97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98">AA437*FH437</f>
        <v>0</v>
      </c>
      <c r="AF437" s="95">
        <f t="shared" ref="AF437:AF450" si="4599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600">IFERROR(S437/BQ437*30,"нет оборота")</f>
        <v>262.03461158586339</v>
      </c>
      <c r="AO437" s="130" t="str">
        <f t="shared" ref="AO437:AO450" si="4601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602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603">IF(AT437="Да",W437,0)</f>
        <v>166981.23000000001</v>
      </c>
      <c r="AX437" s="144"/>
      <c r="AY437" s="146">
        <f t="shared" ref="AY437:AY450" si="4604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605">BE437*FH437</f>
        <v>0</v>
      </c>
      <c r="BG437" s="32">
        <v>0</v>
      </c>
      <c r="BH437" s="32">
        <f t="shared" ref="BH437:BH450" si="4606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607">IF(COUNTIF(BK437:BP437,"&gt;0")=0,0,SUM(BK437:BP437)/COUNTIF(BK437:BP437,"&gt;0"))</f>
        <v>38.81166666666666</v>
      </c>
      <c r="BR437" s="95">
        <f t="shared" ref="BR437:BR450" si="4608">IF(OR(Q437=0,SUM(BK437:BP437)=0,V437&gt;Q437),V437-BK437,Q437-BK437)</f>
        <v>303.85000000000002</v>
      </c>
      <c r="BS437" s="133">
        <f t="shared" si="4596"/>
        <v>248.22000000000003</v>
      </c>
      <c r="BT437" s="133">
        <f t="shared" si="4596"/>
        <v>226.36</v>
      </c>
      <c r="BU437" s="133">
        <f t="shared" si="4596"/>
        <v>184.68</v>
      </c>
      <c r="BV437" s="133">
        <f t="shared" si="4596"/>
        <v>141.85000000000002</v>
      </c>
      <c r="BW437" s="133">
        <f t="shared" si="4596"/>
        <v>106.13000000000002</v>
      </c>
      <c r="BX437" s="133">
        <f t="shared" ref="BX437:CO440" si="4609">BW437-$BQ437</f>
        <v>67.318333333333356</v>
      </c>
      <c r="BY437" s="133">
        <f t="shared" si="4609"/>
        <v>28.506666666666696</v>
      </c>
      <c r="BZ437" s="133">
        <f t="shared" si="4609"/>
        <v>-10.304999999999964</v>
      </c>
      <c r="CA437" s="133">
        <f t="shared" si="4609"/>
        <v>-49.116666666666625</v>
      </c>
      <c r="CB437" s="133">
        <f t="shared" si="4609"/>
        <v>-87.928333333333285</v>
      </c>
      <c r="CC437" s="133">
        <f t="shared" si="4609"/>
        <v>-126.73999999999995</v>
      </c>
      <c r="CD437" s="133">
        <f t="shared" si="4609"/>
        <v>-165.55166666666662</v>
      </c>
      <c r="CE437" s="133">
        <f t="shared" si="4609"/>
        <v>-204.36333333333329</v>
      </c>
      <c r="CF437" s="133">
        <f t="shared" si="4609"/>
        <v>-243.17499999999995</v>
      </c>
      <c r="CG437" s="133">
        <f t="shared" si="4609"/>
        <v>-281.98666666666662</v>
      </c>
      <c r="CH437" s="133">
        <f t="shared" si="4609"/>
        <v>-320.79833333333329</v>
      </c>
      <c r="CI437" s="133">
        <f t="shared" si="4609"/>
        <v>-359.60999999999996</v>
      </c>
      <c r="CJ437" s="133">
        <f t="shared" si="4609"/>
        <v>-398.42166666666662</v>
      </c>
      <c r="CK437" s="133">
        <f t="shared" si="4609"/>
        <v>-437.23333333333329</v>
      </c>
      <c r="CL437" s="133">
        <f t="shared" si="4609"/>
        <v>-476.04499999999996</v>
      </c>
      <c r="CM437" s="133">
        <f t="shared" si="4609"/>
        <v>-514.85666666666657</v>
      </c>
      <c r="CN437" s="133">
        <f t="shared" si="4609"/>
        <v>-553.66833333333318</v>
      </c>
      <c r="CO437" s="133">
        <f t="shared" si="4609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610">IFERROR(CZ437/CY437,0)</f>
        <v>0</v>
      </c>
      <c r="DB437" s="4">
        <f t="shared" ref="DB437:DB448" si="4611">CY437*FH437</f>
        <v>0</v>
      </c>
      <c r="DC437" s="4">
        <f t="shared" ref="DC437:DC448" si="4612">CZ437*FH437</f>
        <v>0</v>
      </c>
      <c r="DD437" s="136">
        <f t="shared" ref="DD437:DD448" si="4613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614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 t="shared" si="4448"/>
        <v>0</v>
      </c>
      <c r="FS437" s="150" t="b">
        <f t="shared" si="4449"/>
        <v>0</v>
      </c>
      <c r="FT437" s="150" t="b">
        <f t="shared" si="4450"/>
        <v>0</v>
      </c>
      <c r="FU437" s="150" t="b">
        <f t="shared" si="4451"/>
        <v>0</v>
      </c>
      <c r="FV437" s="150" t="b">
        <f t="shared" si="4452"/>
        <v>1</v>
      </c>
      <c r="FW437" s="104" t="b">
        <f t="shared" si="4472"/>
        <v>0</v>
      </c>
      <c r="FX437" s="150" t="b">
        <f t="shared" ref="FX437:FX450" si="4615">EXACT(FQ437,BI437)</f>
        <v>1</v>
      </c>
      <c r="FY437" s="104" t="s">
        <v>368</v>
      </c>
      <c r="FZ437" s="104" t="b">
        <f t="shared" ref="FZ437:FZ450" si="4616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617">EXACT(GD437,C437)</f>
        <v>1</v>
      </c>
      <c r="GI437" s="151" t="b">
        <f t="shared" ref="GI437:GI450" si="4618">EXACT(GG437,G437)</f>
        <v>0</v>
      </c>
      <c r="GJ437" s="31" t="s">
        <v>203</v>
      </c>
    </row>
    <row r="438" spans="1:192" ht="30" hidden="1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97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98"/>
        <v>0</v>
      </c>
      <c r="AF438" s="95">
        <f t="shared" si="4599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600"/>
        <v>262.03461158586339</v>
      </c>
      <c r="AO438" s="133" t="str">
        <f t="shared" si="4601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602"/>
        <v>0-09</v>
      </c>
      <c r="AW438" s="117">
        <f t="shared" si="4603"/>
        <v>166981.23000000001</v>
      </c>
      <c r="AX438" s="14"/>
      <c r="AY438" s="25">
        <f t="shared" si="4604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605"/>
        <v>0</v>
      </c>
      <c r="BG438" s="32">
        <v>0</v>
      </c>
      <c r="BH438" s="32">
        <f t="shared" si="4606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607"/>
        <v>38.81166666666666</v>
      </c>
      <c r="BR438" s="95">
        <f t="shared" si="4608"/>
        <v>303.85000000000002</v>
      </c>
      <c r="BS438" s="133">
        <f t="shared" si="4596"/>
        <v>248.22000000000003</v>
      </c>
      <c r="BT438" s="133">
        <f t="shared" si="4596"/>
        <v>226.36</v>
      </c>
      <c r="BU438" s="133">
        <f t="shared" si="4596"/>
        <v>184.68</v>
      </c>
      <c r="BV438" s="133">
        <f t="shared" si="4596"/>
        <v>141.85000000000002</v>
      </c>
      <c r="BW438" s="133">
        <f t="shared" si="4596"/>
        <v>106.13000000000002</v>
      </c>
      <c r="BX438" s="133">
        <f t="shared" si="4609"/>
        <v>67.318333333333356</v>
      </c>
      <c r="BY438" s="133">
        <f t="shared" si="4609"/>
        <v>28.506666666666696</v>
      </c>
      <c r="BZ438" s="133">
        <f t="shared" si="4609"/>
        <v>-10.304999999999964</v>
      </c>
      <c r="CA438" s="133">
        <f t="shared" si="4609"/>
        <v>-49.116666666666625</v>
      </c>
      <c r="CB438" s="133">
        <f t="shared" si="4609"/>
        <v>-87.928333333333285</v>
      </c>
      <c r="CC438" s="133">
        <f t="shared" si="4609"/>
        <v>-126.73999999999995</v>
      </c>
      <c r="CD438" s="133">
        <f t="shared" si="4609"/>
        <v>-165.55166666666662</v>
      </c>
      <c r="CE438" s="133">
        <f t="shared" si="4609"/>
        <v>-204.36333333333329</v>
      </c>
      <c r="CF438" s="133">
        <f t="shared" si="4609"/>
        <v>-243.17499999999995</v>
      </c>
      <c r="CG438" s="133">
        <f t="shared" si="4609"/>
        <v>-281.98666666666662</v>
      </c>
      <c r="CH438" s="133">
        <f t="shared" si="4609"/>
        <v>-320.79833333333329</v>
      </c>
      <c r="CI438" s="133">
        <f t="shared" si="4609"/>
        <v>-359.60999999999996</v>
      </c>
      <c r="CJ438" s="133">
        <f t="shared" si="4609"/>
        <v>-398.42166666666662</v>
      </c>
      <c r="CK438" s="133">
        <f t="shared" si="4609"/>
        <v>-437.23333333333329</v>
      </c>
      <c r="CL438" s="133">
        <f t="shared" si="4609"/>
        <v>-476.04499999999996</v>
      </c>
      <c r="CM438" s="133">
        <f t="shared" si="4609"/>
        <v>-514.85666666666657</v>
      </c>
      <c r="CN438" s="133">
        <f t="shared" si="4609"/>
        <v>-553.66833333333318</v>
      </c>
      <c r="CO438" s="133">
        <f t="shared" si="4609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610"/>
        <v>0</v>
      </c>
      <c r="DB438" s="4">
        <f t="shared" si="4611"/>
        <v>0</v>
      </c>
      <c r="DC438" s="4">
        <f t="shared" si="4612"/>
        <v>0</v>
      </c>
      <c r="DD438" s="136">
        <f t="shared" si="4613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619">BK438*$FH438</f>
        <v>17313.835499999997</v>
      </c>
      <c r="EQ438" s="62">
        <f t="shared" si="4619"/>
        <v>27401.669099999999</v>
      </c>
      <c r="ER438" s="62">
        <f t="shared" si="4619"/>
        <v>10767.5802</v>
      </c>
      <c r="ES438" s="62">
        <f t="shared" si="4619"/>
        <v>20530.317599999998</v>
      </c>
      <c r="ET438" s="62">
        <f t="shared" si="4619"/>
        <v>21096.773099999999</v>
      </c>
      <c r="EU438" s="62">
        <f t="shared" si="4619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614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 t="shared" si="4448"/>
        <v>1</v>
      </c>
      <c r="FS438" s="103" t="b">
        <f t="shared" si="4449"/>
        <v>1</v>
      </c>
      <c r="FT438" s="103" t="b">
        <f t="shared" si="4450"/>
        <v>0</v>
      </c>
      <c r="FU438" s="103" t="b">
        <f t="shared" si="4451"/>
        <v>0</v>
      </c>
      <c r="FV438" s="103" t="b">
        <f t="shared" si="4452"/>
        <v>1</v>
      </c>
      <c r="FW438" s="104" t="b">
        <f t="shared" si="4472"/>
        <v>0</v>
      </c>
      <c r="FX438" s="120" t="b">
        <f t="shared" si="4615"/>
        <v>1</v>
      </c>
      <c r="FY438" s="104" t="s">
        <v>368</v>
      </c>
      <c r="FZ438" s="104" t="b">
        <f t="shared" si="4616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617"/>
        <v>1</v>
      </c>
      <c r="GI438" s="8" t="b">
        <f t="shared" si="4618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97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98"/>
        <v>0</v>
      </c>
      <c r="AF439" s="95">
        <f t="shared" si="4599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600"/>
        <v>61.424148606811137</v>
      </c>
      <c r="AO439" s="130" t="str">
        <f t="shared" si="4601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602"/>
        <v>0-04</v>
      </c>
      <c r="AW439" s="149">
        <f t="shared" si="4603"/>
        <v>0</v>
      </c>
      <c r="AX439" s="144"/>
      <c r="AY439" s="146">
        <f t="shared" si="4604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605"/>
        <v>0</v>
      </c>
      <c r="BG439" s="32">
        <v>0</v>
      </c>
      <c r="BH439" s="32">
        <f t="shared" si="4606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607"/>
        <v>121.125</v>
      </c>
      <c r="BR439" s="95">
        <f t="shared" si="4608"/>
        <v>33</v>
      </c>
      <c r="BS439" s="133">
        <f t="shared" si="4596"/>
        <v>33</v>
      </c>
      <c r="BT439" s="133">
        <f t="shared" si="4596"/>
        <v>33</v>
      </c>
      <c r="BU439" s="133">
        <f t="shared" si="4596"/>
        <v>-69</v>
      </c>
      <c r="BV439" s="133">
        <f t="shared" si="4596"/>
        <v>-171</v>
      </c>
      <c r="BW439" s="133">
        <f t="shared" si="4596"/>
        <v>-264.5</v>
      </c>
      <c r="BX439" s="133">
        <f t="shared" si="4609"/>
        <v>-385.625</v>
      </c>
      <c r="BY439" s="133">
        <f t="shared" si="4609"/>
        <v>-506.75</v>
      </c>
      <c r="BZ439" s="133">
        <f t="shared" si="4609"/>
        <v>-627.875</v>
      </c>
      <c r="CA439" s="133">
        <f t="shared" si="4609"/>
        <v>-749</v>
      </c>
      <c r="CB439" s="133">
        <f t="shared" si="4609"/>
        <v>-870.125</v>
      </c>
      <c r="CC439" s="133">
        <f t="shared" si="4609"/>
        <v>-991.25</v>
      </c>
      <c r="CD439" s="133">
        <f t="shared" si="4609"/>
        <v>-1112.375</v>
      </c>
      <c r="CE439" s="133">
        <f t="shared" si="4609"/>
        <v>-1233.5</v>
      </c>
      <c r="CF439" s="133">
        <f t="shared" si="4609"/>
        <v>-1354.625</v>
      </c>
      <c r="CG439" s="133">
        <f t="shared" si="4609"/>
        <v>-1475.75</v>
      </c>
      <c r="CH439" s="133">
        <f t="shared" si="4609"/>
        <v>-1596.875</v>
      </c>
      <c r="CI439" s="133">
        <f t="shared" si="4609"/>
        <v>-1718</v>
      </c>
      <c r="CJ439" s="133">
        <f t="shared" si="4609"/>
        <v>-1839.125</v>
      </c>
      <c r="CK439" s="133">
        <f t="shared" si="4609"/>
        <v>-1960.25</v>
      </c>
      <c r="CL439" s="133">
        <f t="shared" si="4609"/>
        <v>-2081.375</v>
      </c>
      <c r="CM439" s="133">
        <f t="shared" si="4609"/>
        <v>-2202.5</v>
      </c>
      <c r="CN439" s="133">
        <f t="shared" si="4609"/>
        <v>-2323.625</v>
      </c>
      <c r="CO439" s="133">
        <f t="shared" si="4609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610"/>
        <v>0</v>
      </c>
      <c r="DB439" s="4">
        <f t="shared" si="4611"/>
        <v>0</v>
      </c>
      <c r="DC439" s="4">
        <f t="shared" si="4612"/>
        <v>0</v>
      </c>
      <c r="DD439" s="136">
        <f t="shared" si="4613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614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 t="shared" si="4448"/>
        <v>0</v>
      </c>
      <c r="FS439" s="150" t="b">
        <f t="shared" si="4449"/>
        <v>0</v>
      </c>
      <c r="FT439" s="150" t="b">
        <f t="shared" si="4450"/>
        <v>0</v>
      </c>
      <c r="FU439" s="150" t="b">
        <f t="shared" si="4451"/>
        <v>0</v>
      </c>
      <c r="FV439" s="150" t="b">
        <f t="shared" si="4452"/>
        <v>1</v>
      </c>
      <c r="FW439" s="104" t="b">
        <f t="shared" si="4472"/>
        <v>0</v>
      </c>
      <c r="FX439" s="150" t="b">
        <f t="shared" si="4615"/>
        <v>1</v>
      </c>
      <c r="FY439" s="104" t="s">
        <v>491</v>
      </c>
      <c r="FZ439" s="104" t="b">
        <f t="shared" si="4616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617"/>
        <v>1</v>
      </c>
      <c r="GI439" s="151" t="b">
        <f t="shared" si="4618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97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98"/>
        <v>0</v>
      </c>
      <c r="AF440" s="95">
        <f t="shared" si="4599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600"/>
        <v>61.424148606811137</v>
      </c>
      <c r="AO440" s="133" t="str">
        <f t="shared" si="4601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602"/>
        <v>0-04</v>
      </c>
      <c r="AW440" s="117">
        <f t="shared" si="4603"/>
        <v>0</v>
      </c>
      <c r="AX440" s="14"/>
      <c r="AY440" s="25">
        <f t="shared" si="4604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605"/>
        <v>0</v>
      </c>
      <c r="BG440" s="32">
        <v>0</v>
      </c>
      <c r="BH440" s="32">
        <f t="shared" si="4606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607"/>
        <v>121.125</v>
      </c>
      <c r="BR440" s="95">
        <f t="shared" si="4608"/>
        <v>33</v>
      </c>
      <c r="BS440" s="133">
        <f t="shared" si="4596"/>
        <v>33</v>
      </c>
      <c r="BT440" s="133">
        <f t="shared" si="4596"/>
        <v>33</v>
      </c>
      <c r="BU440" s="133">
        <f t="shared" si="4596"/>
        <v>-69</v>
      </c>
      <c r="BV440" s="133">
        <f t="shared" si="4596"/>
        <v>-171</v>
      </c>
      <c r="BW440" s="133">
        <f t="shared" si="4596"/>
        <v>-264.5</v>
      </c>
      <c r="BX440" s="133">
        <f t="shared" si="4609"/>
        <v>-385.625</v>
      </c>
      <c r="BY440" s="133">
        <f t="shared" si="4609"/>
        <v>-506.75</v>
      </c>
      <c r="BZ440" s="133">
        <f t="shared" si="4609"/>
        <v>-627.875</v>
      </c>
      <c r="CA440" s="133">
        <f t="shared" si="4609"/>
        <v>-749</v>
      </c>
      <c r="CB440" s="133">
        <f t="shared" si="4609"/>
        <v>-870.125</v>
      </c>
      <c r="CC440" s="133">
        <f t="shared" si="4609"/>
        <v>-991.25</v>
      </c>
      <c r="CD440" s="133">
        <f t="shared" si="4609"/>
        <v>-1112.375</v>
      </c>
      <c r="CE440" s="133">
        <f t="shared" si="4609"/>
        <v>-1233.5</v>
      </c>
      <c r="CF440" s="133">
        <f t="shared" si="4609"/>
        <v>-1354.625</v>
      </c>
      <c r="CG440" s="133">
        <f t="shared" si="4609"/>
        <v>-1475.75</v>
      </c>
      <c r="CH440" s="133">
        <f t="shared" si="4609"/>
        <v>-1596.875</v>
      </c>
      <c r="CI440" s="133">
        <f t="shared" si="4609"/>
        <v>-1718</v>
      </c>
      <c r="CJ440" s="133">
        <f t="shared" si="4609"/>
        <v>-1839.125</v>
      </c>
      <c r="CK440" s="133">
        <f t="shared" si="4609"/>
        <v>-1960.25</v>
      </c>
      <c r="CL440" s="133">
        <f t="shared" si="4609"/>
        <v>-2081.375</v>
      </c>
      <c r="CM440" s="133">
        <f t="shared" si="4609"/>
        <v>-2202.5</v>
      </c>
      <c r="CN440" s="133">
        <f t="shared" si="4609"/>
        <v>-2323.625</v>
      </c>
      <c r="CO440" s="133">
        <f t="shared" si="4609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610"/>
        <v>0</v>
      </c>
      <c r="DB440" s="4">
        <f t="shared" si="4611"/>
        <v>0</v>
      </c>
      <c r="DC440" s="4">
        <f t="shared" si="4612"/>
        <v>0</v>
      </c>
      <c r="DD440" s="136">
        <f t="shared" si="4613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620">BK440*$FH440</f>
        <v>108086</v>
      </c>
      <c r="EQ440" s="62">
        <f t="shared" si="4620"/>
        <v>0</v>
      </c>
      <c r="ER440" s="62">
        <f t="shared" si="4620"/>
        <v>0</v>
      </c>
      <c r="ES440" s="62">
        <f t="shared" si="4620"/>
        <v>58956</v>
      </c>
      <c r="ET440" s="62">
        <f t="shared" si="4620"/>
        <v>58956</v>
      </c>
      <c r="EU440" s="62">
        <f t="shared" si="4620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614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 t="shared" si="4448"/>
        <v>1</v>
      </c>
      <c r="FS440" s="103" t="b">
        <f t="shared" si="4449"/>
        <v>1</v>
      </c>
      <c r="FT440" s="103" t="b">
        <f t="shared" si="4450"/>
        <v>0</v>
      </c>
      <c r="FU440" s="103" t="b">
        <f t="shared" si="4451"/>
        <v>0</v>
      </c>
      <c r="FV440" s="103" t="b">
        <f t="shared" si="4452"/>
        <v>1</v>
      </c>
      <c r="FW440" s="104" t="b">
        <f t="shared" si="4472"/>
        <v>0</v>
      </c>
      <c r="FX440" s="120" t="b">
        <f t="shared" si="4615"/>
        <v>1</v>
      </c>
      <c r="FY440" s="104" t="s">
        <v>491</v>
      </c>
      <c r="FZ440" s="104" t="b">
        <f t="shared" si="4616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617"/>
        <v>1</v>
      </c>
      <c r="GI440" s="8" t="b">
        <f t="shared" si="4618"/>
        <v>0</v>
      </c>
      <c r="GJ440" s="31" t="s">
        <v>203</v>
      </c>
    </row>
    <row r="441" spans="1:192" hidden="1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97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98"/>
        <v>0</v>
      </c>
      <c r="AF441" s="95">
        <f t="shared" si="4599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600"/>
        <v>200.08317894816437</v>
      </c>
      <c r="AO441" s="130" t="str">
        <f t="shared" si="4601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602"/>
        <v>0-07</v>
      </c>
      <c r="AW441" s="149">
        <f t="shared" si="4603"/>
        <v>111725.11957550049</v>
      </c>
      <c r="AX441" s="144"/>
      <c r="AY441" s="146">
        <f t="shared" si="4604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605"/>
        <v>0</v>
      </c>
      <c r="BG441" s="32">
        <v>0</v>
      </c>
      <c r="BH441" s="32">
        <f t="shared" si="4606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607"/>
        <v>44.081666666666671</v>
      </c>
      <c r="BR441" s="95">
        <f t="shared" si="4608"/>
        <v>246.60699890136718</v>
      </c>
      <c r="BS441" s="133">
        <f t="shared" si="4596"/>
        <v>190.06699890136719</v>
      </c>
      <c r="BT441" s="133">
        <f t="shared" si="4596"/>
        <v>137.02699890136719</v>
      </c>
      <c r="BU441" s="133">
        <f t="shared" si="4596"/>
        <v>92.356998901367191</v>
      </c>
      <c r="BV441" s="133">
        <f t="shared" si="4596"/>
        <v>41.82699890136719</v>
      </c>
      <c r="BW441" s="133">
        <f t="shared" si="4596"/>
        <v>6.8869989013671926</v>
      </c>
      <c r="BX441" s="133">
        <f t="shared" ref="BX441:CO445" si="4621">BW441-$BQ441</f>
        <v>-37.194667765299478</v>
      </c>
      <c r="BY441" s="133">
        <f t="shared" si="4621"/>
        <v>-81.276334431966148</v>
      </c>
      <c r="BZ441" s="133">
        <f t="shared" si="4621"/>
        <v>-125.35800109863283</v>
      </c>
      <c r="CA441" s="133">
        <f t="shared" si="4621"/>
        <v>-169.4396677652995</v>
      </c>
      <c r="CB441" s="133">
        <f t="shared" si="4621"/>
        <v>-213.52133443196618</v>
      </c>
      <c r="CC441" s="133">
        <f t="shared" si="4621"/>
        <v>-257.60300109863283</v>
      </c>
      <c r="CD441" s="133">
        <f t="shared" si="4621"/>
        <v>-301.68466776529948</v>
      </c>
      <c r="CE441" s="133">
        <f t="shared" si="4621"/>
        <v>-345.76633443196613</v>
      </c>
      <c r="CF441" s="133">
        <f t="shared" si="4621"/>
        <v>-389.84800109863278</v>
      </c>
      <c r="CG441" s="133">
        <f t="shared" si="4621"/>
        <v>-433.92966776529943</v>
      </c>
      <c r="CH441" s="133">
        <f t="shared" si="4621"/>
        <v>-478.01133443196608</v>
      </c>
      <c r="CI441" s="133">
        <f t="shared" si="4621"/>
        <v>-522.09300109863273</v>
      </c>
      <c r="CJ441" s="133">
        <f t="shared" si="4621"/>
        <v>-566.17466776529943</v>
      </c>
      <c r="CK441" s="133">
        <f t="shared" si="4621"/>
        <v>-610.25633443196614</v>
      </c>
      <c r="CL441" s="133">
        <f t="shared" si="4621"/>
        <v>-654.33800109863284</v>
      </c>
      <c r="CM441" s="133">
        <f t="shared" si="4621"/>
        <v>-698.41966776529955</v>
      </c>
      <c r="CN441" s="133">
        <f t="shared" si="4621"/>
        <v>-742.50133443196626</v>
      </c>
      <c r="CO441" s="133">
        <f t="shared" si="4621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610"/>
        <v>0</v>
      </c>
      <c r="DB441" s="4">
        <f t="shared" si="4611"/>
        <v>0</v>
      </c>
      <c r="DC441" s="4">
        <f t="shared" si="4612"/>
        <v>0</v>
      </c>
      <c r="DD441" s="136">
        <f t="shared" si="4613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614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 t="shared" si="4448"/>
        <v>0</v>
      </c>
      <c r="FS441" s="150" t="b">
        <f t="shared" si="4449"/>
        <v>0</v>
      </c>
      <c r="FT441" s="150" t="b">
        <f t="shared" si="4450"/>
        <v>0</v>
      </c>
      <c r="FU441" s="150" t="b">
        <f t="shared" si="4451"/>
        <v>0</v>
      </c>
      <c r="FV441" s="150" t="b">
        <f t="shared" si="4452"/>
        <v>1</v>
      </c>
      <c r="FW441" s="104" t="b">
        <f t="shared" si="4472"/>
        <v>0</v>
      </c>
      <c r="FX441" s="150" t="b">
        <f t="shared" si="4615"/>
        <v>1</v>
      </c>
      <c r="FY441" s="104" t="s">
        <v>368</v>
      </c>
      <c r="FZ441" s="104" t="b">
        <f t="shared" si="4616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617"/>
        <v>1</v>
      </c>
      <c r="GI441" s="151" t="b">
        <f t="shared" si="4618"/>
        <v>0</v>
      </c>
      <c r="GJ441" s="31" t="s">
        <v>203</v>
      </c>
    </row>
    <row r="442" spans="1:192" ht="45" hidden="1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97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98"/>
        <v>0</v>
      </c>
      <c r="AF442" s="95">
        <f t="shared" si="4599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600"/>
        <v>200.08317894816437</v>
      </c>
      <c r="AO442" s="133" t="str">
        <f t="shared" si="4601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602"/>
        <v>0-07</v>
      </c>
      <c r="AW442" s="117">
        <f t="shared" si="4603"/>
        <v>111725.11957550049</v>
      </c>
      <c r="AX442" s="14"/>
      <c r="AY442" s="25">
        <f t="shared" si="4604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605"/>
        <v>0</v>
      </c>
      <c r="BG442" s="32">
        <v>0</v>
      </c>
      <c r="BH442" s="32">
        <f t="shared" si="4606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607"/>
        <v>44.081666666666671</v>
      </c>
      <c r="BR442" s="95">
        <f t="shared" si="4608"/>
        <v>246.60699890136718</v>
      </c>
      <c r="BS442" s="133">
        <f t="shared" si="4596"/>
        <v>190.06699890136719</v>
      </c>
      <c r="BT442" s="133">
        <f t="shared" si="4596"/>
        <v>137.02699890136719</v>
      </c>
      <c r="BU442" s="133">
        <f t="shared" si="4596"/>
        <v>92.356998901367191</v>
      </c>
      <c r="BV442" s="133">
        <f t="shared" si="4596"/>
        <v>41.82699890136719</v>
      </c>
      <c r="BW442" s="133">
        <f t="shared" si="4596"/>
        <v>6.8869989013671926</v>
      </c>
      <c r="BX442" s="133">
        <f t="shared" si="4621"/>
        <v>-37.194667765299478</v>
      </c>
      <c r="BY442" s="133">
        <f t="shared" si="4621"/>
        <v>-81.276334431966148</v>
      </c>
      <c r="BZ442" s="133">
        <f t="shared" si="4621"/>
        <v>-125.35800109863283</v>
      </c>
      <c r="CA442" s="133">
        <f t="shared" si="4621"/>
        <v>-169.4396677652995</v>
      </c>
      <c r="CB442" s="133">
        <f t="shared" si="4621"/>
        <v>-213.52133443196618</v>
      </c>
      <c r="CC442" s="133">
        <f t="shared" si="4621"/>
        <v>-257.60300109863283</v>
      </c>
      <c r="CD442" s="133">
        <f t="shared" si="4621"/>
        <v>-301.68466776529948</v>
      </c>
      <c r="CE442" s="133">
        <f t="shared" si="4621"/>
        <v>-345.76633443196613</v>
      </c>
      <c r="CF442" s="133">
        <f t="shared" si="4621"/>
        <v>-389.84800109863278</v>
      </c>
      <c r="CG442" s="133">
        <f t="shared" si="4621"/>
        <v>-433.92966776529943</v>
      </c>
      <c r="CH442" s="133">
        <f t="shared" si="4621"/>
        <v>-478.01133443196608</v>
      </c>
      <c r="CI442" s="133">
        <f t="shared" si="4621"/>
        <v>-522.09300109863273</v>
      </c>
      <c r="CJ442" s="133">
        <f t="shared" si="4621"/>
        <v>-566.17466776529943</v>
      </c>
      <c r="CK442" s="133">
        <f t="shared" si="4621"/>
        <v>-610.25633443196614</v>
      </c>
      <c r="CL442" s="133">
        <f t="shared" si="4621"/>
        <v>-654.33800109863284</v>
      </c>
      <c r="CM442" s="133">
        <f t="shared" si="4621"/>
        <v>-698.41966776529955</v>
      </c>
      <c r="CN442" s="133">
        <f t="shared" si="4621"/>
        <v>-742.50133443196626</v>
      </c>
      <c r="CO442" s="133">
        <f t="shared" si="4621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610"/>
        <v>0</v>
      </c>
      <c r="DB442" s="4">
        <f t="shared" si="4611"/>
        <v>0</v>
      </c>
      <c r="DC442" s="4">
        <f t="shared" si="4612"/>
        <v>0</v>
      </c>
      <c r="DD442" s="136">
        <f t="shared" si="4613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622">BK442*$FH442</f>
        <v>11121.73</v>
      </c>
      <c r="EQ442" s="62">
        <f t="shared" si="4622"/>
        <v>25386.46</v>
      </c>
      <c r="ER442" s="62">
        <f t="shared" si="4622"/>
        <v>23814.959999999999</v>
      </c>
      <c r="ES442" s="62">
        <f t="shared" si="4622"/>
        <v>20056.830000000002</v>
      </c>
      <c r="ET442" s="62">
        <f t="shared" si="4622"/>
        <v>22687.97</v>
      </c>
      <c r="EU442" s="62">
        <f t="shared" si="4622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614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 t="shared" si="4448"/>
        <v>1</v>
      </c>
      <c r="FS442" s="103" t="b">
        <f t="shared" si="4449"/>
        <v>1</v>
      </c>
      <c r="FT442" s="103" t="b">
        <f t="shared" si="4450"/>
        <v>0</v>
      </c>
      <c r="FU442" s="103" t="b">
        <f t="shared" si="4451"/>
        <v>0</v>
      </c>
      <c r="FV442" s="103" t="b">
        <f t="shared" si="4452"/>
        <v>1</v>
      </c>
      <c r="FW442" s="104" t="b">
        <f t="shared" si="4472"/>
        <v>0</v>
      </c>
      <c r="FX442" s="120" t="b">
        <f t="shared" si="4615"/>
        <v>1</v>
      </c>
      <c r="FY442" s="104" t="s">
        <v>368</v>
      </c>
      <c r="FZ442" s="104" t="b">
        <f t="shared" si="4616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617"/>
        <v>1</v>
      </c>
      <c r="GI442" s="8" t="b">
        <f t="shared" si="4618"/>
        <v>0</v>
      </c>
      <c r="GJ442" s="31" t="s">
        <v>203</v>
      </c>
    </row>
    <row r="443" spans="1:192" hidden="1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97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98"/>
        <v>0</v>
      </c>
      <c r="AF443" s="95">
        <f t="shared" si="4599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600"/>
        <v>25.069637883008355</v>
      </c>
      <c r="AO443" s="130" t="str">
        <f t="shared" si="4601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602"/>
        <v>0-03</v>
      </c>
      <c r="AW443" s="149">
        <f t="shared" si="4603"/>
        <v>0</v>
      </c>
      <c r="AX443" s="144"/>
      <c r="AY443" s="146">
        <f t="shared" si="4604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605"/>
        <v>0</v>
      </c>
      <c r="BG443" s="32">
        <v>0</v>
      </c>
      <c r="BH443" s="32">
        <f t="shared" si="4606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607"/>
        <v>153.77166666666668</v>
      </c>
      <c r="BR443" s="95">
        <f t="shared" si="4608"/>
        <v>182.00999542236326</v>
      </c>
      <c r="BS443" s="133">
        <f t="shared" si="4596"/>
        <v>21.549995422363253</v>
      </c>
      <c r="BT443" s="133">
        <f t="shared" si="4596"/>
        <v>-124.36000457763674</v>
      </c>
      <c r="BU443" s="133">
        <f t="shared" si="4596"/>
        <v>-270.08000457763671</v>
      </c>
      <c r="BV443" s="133">
        <f t="shared" si="4596"/>
        <v>-480.2200045776367</v>
      </c>
      <c r="BW443" s="133">
        <f t="shared" si="4596"/>
        <v>-660.83000457763671</v>
      </c>
      <c r="BX443" s="133">
        <f t="shared" si="4621"/>
        <v>-814.60167124430336</v>
      </c>
      <c r="BY443" s="133">
        <f t="shared" si="4621"/>
        <v>-968.37333791097001</v>
      </c>
      <c r="BZ443" s="133">
        <f t="shared" si="4621"/>
        <v>-1122.1450045776367</v>
      </c>
      <c r="CA443" s="133">
        <f t="shared" si="4621"/>
        <v>-1275.9166712443034</v>
      </c>
      <c r="CB443" s="133">
        <f t="shared" si="4621"/>
        <v>-1429.6883379109702</v>
      </c>
      <c r="CC443" s="133">
        <f t="shared" si="4621"/>
        <v>-1583.4600045776369</v>
      </c>
      <c r="CD443" s="133">
        <f t="shared" si="4621"/>
        <v>-1737.2316712443037</v>
      </c>
      <c r="CE443" s="133">
        <f t="shared" si="4621"/>
        <v>-1891.0033379109705</v>
      </c>
      <c r="CF443" s="133">
        <f t="shared" si="4621"/>
        <v>-2044.7750045776372</v>
      </c>
      <c r="CG443" s="133">
        <f t="shared" si="4621"/>
        <v>-2198.546671244304</v>
      </c>
      <c r="CH443" s="133">
        <f t="shared" si="4621"/>
        <v>-2352.3183379109705</v>
      </c>
      <c r="CI443" s="133">
        <f t="shared" si="4621"/>
        <v>-2506.090004577637</v>
      </c>
      <c r="CJ443" s="133">
        <f t="shared" si="4621"/>
        <v>-2659.8616712443036</v>
      </c>
      <c r="CK443" s="133">
        <f t="shared" si="4621"/>
        <v>-2813.6333379109701</v>
      </c>
      <c r="CL443" s="133">
        <f t="shared" si="4621"/>
        <v>-2967.4050045776366</v>
      </c>
      <c r="CM443" s="133">
        <f t="shared" si="4621"/>
        <v>-3121.1766712443032</v>
      </c>
      <c r="CN443" s="133">
        <f t="shared" si="4621"/>
        <v>-3274.9483379109697</v>
      </c>
      <c r="CO443" s="133">
        <f t="shared" si="4621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610"/>
        <v>0</v>
      </c>
      <c r="DB443" s="4">
        <f t="shared" si="4611"/>
        <v>0</v>
      </c>
      <c r="DC443" s="4">
        <f t="shared" si="4612"/>
        <v>0</v>
      </c>
      <c r="DD443" s="136">
        <f t="shared" si="4613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614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 t="shared" si="4448"/>
        <v>0</v>
      </c>
      <c r="FS443" s="150" t="b">
        <f t="shared" si="4449"/>
        <v>0</v>
      </c>
      <c r="FT443" s="150" t="b">
        <f t="shared" si="4450"/>
        <v>0</v>
      </c>
      <c r="FU443" s="150" t="b">
        <f t="shared" si="4451"/>
        <v>0</v>
      </c>
      <c r="FV443" s="150" t="b">
        <f t="shared" si="4452"/>
        <v>1</v>
      </c>
      <c r="FW443" s="104" t="b">
        <f t="shared" si="4472"/>
        <v>0</v>
      </c>
      <c r="FX443" s="150" t="b">
        <f t="shared" si="4615"/>
        <v>1</v>
      </c>
      <c r="FY443" s="104" t="s">
        <v>368</v>
      </c>
      <c r="FZ443" s="104" t="b">
        <f t="shared" si="4616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617"/>
        <v>1</v>
      </c>
      <c r="GI443" s="151" t="b">
        <f t="shared" si="4618"/>
        <v>0</v>
      </c>
      <c r="GJ443" s="31" t="s">
        <v>203</v>
      </c>
    </row>
    <row r="444" spans="1:192" ht="30" hidden="1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97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98"/>
        <v>0</v>
      </c>
      <c r="AF444" s="95">
        <f t="shared" si="4599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600"/>
        <v>25.069637883008355</v>
      </c>
      <c r="AO444" s="133" t="str">
        <f t="shared" si="4601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602"/>
        <v>0-03</v>
      </c>
      <c r="AW444" s="117">
        <f t="shared" si="4603"/>
        <v>0</v>
      </c>
      <c r="AX444" s="14"/>
      <c r="AY444" s="25">
        <f t="shared" si="4604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605"/>
        <v>0</v>
      </c>
      <c r="BG444" s="32">
        <v>0</v>
      </c>
      <c r="BH444" s="32">
        <f t="shared" si="4606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607"/>
        <v>153.77166666666668</v>
      </c>
      <c r="BR444" s="95">
        <f t="shared" si="4608"/>
        <v>182.00999542236326</v>
      </c>
      <c r="BS444" s="133">
        <f t="shared" si="4596"/>
        <v>21.549995422363253</v>
      </c>
      <c r="BT444" s="133">
        <f t="shared" si="4596"/>
        <v>-124.36000457763674</v>
      </c>
      <c r="BU444" s="133">
        <f t="shared" si="4596"/>
        <v>-270.08000457763671</v>
      </c>
      <c r="BV444" s="133">
        <f t="shared" si="4596"/>
        <v>-480.2200045776367</v>
      </c>
      <c r="BW444" s="133">
        <f t="shared" si="4596"/>
        <v>-660.83000457763671</v>
      </c>
      <c r="BX444" s="133">
        <f t="shared" si="4621"/>
        <v>-814.60167124430336</v>
      </c>
      <c r="BY444" s="133">
        <f t="shared" si="4621"/>
        <v>-968.37333791097001</v>
      </c>
      <c r="BZ444" s="133">
        <f t="shared" si="4621"/>
        <v>-1122.1450045776367</v>
      </c>
      <c r="CA444" s="133">
        <f t="shared" si="4621"/>
        <v>-1275.9166712443034</v>
      </c>
      <c r="CB444" s="133">
        <f t="shared" si="4621"/>
        <v>-1429.6883379109702</v>
      </c>
      <c r="CC444" s="133">
        <f t="shared" si="4621"/>
        <v>-1583.4600045776369</v>
      </c>
      <c r="CD444" s="133">
        <f t="shared" si="4621"/>
        <v>-1737.2316712443037</v>
      </c>
      <c r="CE444" s="133">
        <f t="shared" si="4621"/>
        <v>-1891.0033379109705</v>
      </c>
      <c r="CF444" s="133">
        <f t="shared" si="4621"/>
        <v>-2044.7750045776372</v>
      </c>
      <c r="CG444" s="133">
        <f t="shared" si="4621"/>
        <v>-2198.546671244304</v>
      </c>
      <c r="CH444" s="133">
        <f t="shared" si="4621"/>
        <v>-2352.3183379109705</v>
      </c>
      <c r="CI444" s="133">
        <f t="shared" si="4621"/>
        <v>-2506.090004577637</v>
      </c>
      <c r="CJ444" s="133">
        <f t="shared" si="4621"/>
        <v>-2659.8616712443036</v>
      </c>
      <c r="CK444" s="133">
        <f t="shared" si="4621"/>
        <v>-2813.6333379109701</v>
      </c>
      <c r="CL444" s="133">
        <f t="shared" si="4621"/>
        <v>-2967.4050045776366</v>
      </c>
      <c r="CM444" s="133">
        <f t="shared" si="4621"/>
        <v>-3121.1766712443032</v>
      </c>
      <c r="CN444" s="133">
        <f t="shared" si="4621"/>
        <v>-3274.9483379109697</v>
      </c>
      <c r="CO444" s="133">
        <f t="shared" si="4621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610"/>
        <v>0</v>
      </c>
      <c r="DB444" s="4">
        <f t="shared" si="4611"/>
        <v>0</v>
      </c>
      <c r="DC444" s="4">
        <f t="shared" si="4612"/>
        <v>0</v>
      </c>
      <c r="DD444" s="136">
        <f t="shared" si="4613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623">BK444*$FH444</f>
        <v>56216.842400000001</v>
      </c>
      <c r="EQ444" s="62">
        <f t="shared" si="4623"/>
        <v>113053.6976</v>
      </c>
      <c r="ER444" s="62">
        <f t="shared" si="4623"/>
        <v>102802.34959999999</v>
      </c>
      <c r="ES444" s="62">
        <f t="shared" si="4623"/>
        <v>102668.48319999999</v>
      </c>
      <c r="ET444" s="62">
        <f t="shared" si="4623"/>
        <v>148056.23839999997</v>
      </c>
      <c r="EU444" s="62">
        <f t="shared" si="4623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614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 t="shared" si="4448"/>
        <v>1</v>
      </c>
      <c r="FS444" s="103" t="b">
        <f t="shared" si="4449"/>
        <v>1</v>
      </c>
      <c r="FT444" s="103" t="b">
        <f t="shared" si="4450"/>
        <v>0</v>
      </c>
      <c r="FU444" s="103" t="b">
        <f t="shared" si="4451"/>
        <v>0</v>
      </c>
      <c r="FV444" s="103" t="b">
        <f t="shared" si="4452"/>
        <v>1</v>
      </c>
      <c r="FW444" s="104" t="b">
        <f t="shared" si="4472"/>
        <v>0</v>
      </c>
      <c r="FX444" s="120" t="b">
        <f t="shared" si="4615"/>
        <v>1</v>
      </c>
      <c r="FY444" s="104" t="s">
        <v>368</v>
      </c>
      <c r="FZ444" s="104" t="b">
        <f t="shared" si="4616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617"/>
        <v>1</v>
      </c>
      <c r="GI444" s="8" t="b">
        <f t="shared" si="4618"/>
        <v>0</v>
      </c>
      <c r="GJ444" s="31" t="s">
        <v>203</v>
      </c>
    </row>
    <row r="445" spans="1:192" hidden="1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97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98"/>
        <v>0</v>
      </c>
      <c r="AF445" s="95">
        <f t="shared" si="4599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600"/>
        <v>97.301577591663545</v>
      </c>
      <c r="AO445" s="130" t="str">
        <f t="shared" si="4601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602"/>
        <v>0-03</v>
      </c>
      <c r="AW445" s="149">
        <f t="shared" si="4603"/>
        <v>0</v>
      </c>
      <c r="AX445" s="144"/>
      <c r="AY445" s="146">
        <f t="shared" si="4604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605"/>
        <v>0</v>
      </c>
      <c r="BG445" s="32">
        <v>0</v>
      </c>
      <c r="BH445" s="32">
        <f t="shared" si="4606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607"/>
        <v>39.99</v>
      </c>
      <c r="BR445" s="95">
        <f t="shared" si="4608"/>
        <v>77.103001403808591</v>
      </c>
      <c r="BS445" s="133">
        <f t="shared" si="4596"/>
        <v>27.493001403808591</v>
      </c>
      <c r="BT445" s="133">
        <f t="shared" si="4596"/>
        <v>-24.186998596191408</v>
      </c>
      <c r="BU445" s="133">
        <f t="shared" si="4596"/>
        <v>-87.236998596191398</v>
      </c>
      <c r="BV445" s="133">
        <f t="shared" si="4596"/>
        <v>-106.94699859619141</v>
      </c>
      <c r="BW445" s="133">
        <f t="shared" si="4596"/>
        <v>-119.3869985961914</v>
      </c>
      <c r="BX445" s="133">
        <f t="shared" si="4621"/>
        <v>-159.37699859619141</v>
      </c>
      <c r="BY445" s="133">
        <f t="shared" si="4621"/>
        <v>-199.36699859619142</v>
      </c>
      <c r="BZ445" s="133">
        <f t="shared" si="4621"/>
        <v>-239.35699859619143</v>
      </c>
      <c r="CA445" s="133">
        <f t="shared" ref="CA445:CO445" si="4624">BZ445-$BQ445</f>
        <v>-279.34699859619144</v>
      </c>
      <c r="CB445" s="133">
        <f t="shared" si="4624"/>
        <v>-319.33699859619145</v>
      </c>
      <c r="CC445" s="133">
        <f t="shared" si="4624"/>
        <v>-359.32699859619146</v>
      </c>
      <c r="CD445" s="133">
        <f t="shared" si="4624"/>
        <v>-399.31699859619147</v>
      </c>
      <c r="CE445" s="133">
        <f t="shared" si="4624"/>
        <v>-439.30699859619148</v>
      </c>
      <c r="CF445" s="133">
        <f t="shared" si="4624"/>
        <v>-479.29699859619149</v>
      </c>
      <c r="CG445" s="133">
        <f t="shared" si="4624"/>
        <v>-519.28699859619144</v>
      </c>
      <c r="CH445" s="133">
        <f t="shared" si="4624"/>
        <v>-559.27699859619145</v>
      </c>
      <c r="CI445" s="133">
        <f t="shared" si="4624"/>
        <v>-599.26699859619146</v>
      </c>
      <c r="CJ445" s="133">
        <f t="shared" si="4624"/>
        <v>-639.25699859619147</v>
      </c>
      <c r="CK445" s="133">
        <f t="shared" si="4624"/>
        <v>-679.24699859619147</v>
      </c>
      <c r="CL445" s="133">
        <f t="shared" si="4624"/>
        <v>-719.23699859619148</v>
      </c>
      <c r="CM445" s="133">
        <f t="shared" si="4624"/>
        <v>-759.22699859619149</v>
      </c>
      <c r="CN445" s="133">
        <f t="shared" si="4624"/>
        <v>-799.2169985961915</v>
      </c>
      <c r="CO445" s="133">
        <f t="shared" si="4624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610"/>
        <v>0</v>
      </c>
      <c r="DB445" s="4">
        <f t="shared" si="4611"/>
        <v>0</v>
      </c>
      <c r="DC445" s="4">
        <f t="shared" si="4612"/>
        <v>0</v>
      </c>
      <c r="DD445" s="136">
        <f t="shared" si="4613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614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 t="shared" si="4448"/>
        <v>0</v>
      </c>
      <c r="FS445" s="150" t="b">
        <f t="shared" si="4449"/>
        <v>0</v>
      </c>
      <c r="FT445" s="150" t="b">
        <f t="shared" si="4450"/>
        <v>0</v>
      </c>
      <c r="FU445" s="150" t="b">
        <f t="shared" si="4451"/>
        <v>0</v>
      </c>
      <c r="FV445" s="150" t="b">
        <f t="shared" si="4452"/>
        <v>1</v>
      </c>
      <c r="FW445" s="104" t="b">
        <f t="shared" si="4472"/>
        <v>0</v>
      </c>
      <c r="FX445" s="150" t="b">
        <f t="shared" si="4615"/>
        <v>1</v>
      </c>
      <c r="FY445" s="104" t="s">
        <v>368</v>
      </c>
      <c r="FZ445" s="104" t="b">
        <f t="shared" si="4616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617"/>
        <v>1</v>
      </c>
      <c r="GI445" s="151" t="b">
        <f t="shared" si="4618"/>
        <v>0</v>
      </c>
      <c r="GJ445" s="31" t="s">
        <v>203</v>
      </c>
    </row>
    <row r="446" spans="1:192" ht="30" hidden="1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97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98"/>
        <v>0</v>
      </c>
      <c r="AF446" s="95">
        <f t="shared" si="4599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600"/>
        <v>97.301577591663545</v>
      </c>
      <c r="AO446" s="133" t="str">
        <f t="shared" si="4601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602"/>
        <v>0-03</v>
      </c>
      <c r="AW446" s="117">
        <f t="shared" si="4603"/>
        <v>0</v>
      </c>
      <c r="AX446" s="14"/>
      <c r="AY446" s="25">
        <f t="shared" si="4604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605"/>
        <v>0</v>
      </c>
      <c r="BG446" s="32">
        <v>0</v>
      </c>
      <c r="BH446" s="32">
        <f t="shared" si="4606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607"/>
        <v>39.99</v>
      </c>
      <c r="BR446" s="95">
        <f t="shared" si="4608"/>
        <v>77.103001403808591</v>
      </c>
      <c r="BS446" s="133">
        <f t="shared" si="4596"/>
        <v>27.493001403808591</v>
      </c>
      <c r="BT446" s="133">
        <f t="shared" si="4596"/>
        <v>-24.186998596191408</v>
      </c>
      <c r="BU446" s="133">
        <f t="shared" si="4596"/>
        <v>-87.236998596191398</v>
      </c>
      <c r="BV446" s="133">
        <f t="shared" si="4596"/>
        <v>-106.94699859619141</v>
      </c>
      <c r="BW446" s="133">
        <f t="shared" si="4596"/>
        <v>-119.3869985961914</v>
      </c>
      <c r="BX446" s="133">
        <f t="shared" ref="BX446:CO446" si="4625">BW446-$BQ446</f>
        <v>-159.37699859619141</v>
      </c>
      <c r="BY446" s="133">
        <f t="shared" si="4625"/>
        <v>-199.36699859619142</v>
      </c>
      <c r="BZ446" s="133">
        <f t="shared" si="4625"/>
        <v>-239.35699859619143</v>
      </c>
      <c r="CA446" s="133">
        <f t="shared" si="4625"/>
        <v>-279.34699859619144</v>
      </c>
      <c r="CB446" s="133">
        <f t="shared" si="4625"/>
        <v>-319.33699859619145</v>
      </c>
      <c r="CC446" s="133">
        <f t="shared" si="4625"/>
        <v>-359.32699859619146</v>
      </c>
      <c r="CD446" s="133">
        <f t="shared" si="4625"/>
        <v>-399.31699859619147</v>
      </c>
      <c r="CE446" s="133">
        <f t="shared" si="4625"/>
        <v>-439.30699859619148</v>
      </c>
      <c r="CF446" s="133">
        <f t="shared" si="4625"/>
        <v>-479.29699859619149</v>
      </c>
      <c r="CG446" s="133">
        <f t="shared" si="4625"/>
        <v>-519.28699859619144</v>
      </c>
      <c r="CH446" s="133">
        <f t="shared" si="4625"/>
        <v>-559.27699859619145</v>
      </c>
      <c r="CI446" s="133">
        <f t="shared" si="4625"/>
        <v>-599.26699859619146</v>
      </c>
      <c r="CJ446" s="133">
        <f t="shared" si="4625"/>
        <v>-639.25699859619147</v>
      </c>
      <c r="CK446" s="133">
        <f t="shared" si="4625"/>
        <v>-679.24699859619147</v>
      </c>
      <c r="CL446" s="133">
        <f t="shared" si="4625"/>
        <v>-719.23699859619148</v>
      </c>
      <c r="CM446" s="133">
        <f t="shared" si="4625"/>
        <v>-759.22699859619149</v>
      </c>
      <c r="CN446" s="133">
        <f t="shared" si="4625"/>
        <v>-799.2169985961915</v>
      </c>
      <c r="CO446" s="133">
        <f t="shared" si="4625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610"/>
        <v>0</v>
      </c>
      <c r="DB446" s="4">
        <f t="shared" si="4611"/>
        <v>0</v>
      </c>
      <c r="DC446" s="4">
        <f t="shared" si="4612"/>
        <v>0</v>
      </c>
      <c r="DD446" s="136">
        <f t="shared" si="4613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626">BK446*$FH446</f>
        <v>27555.990000000005</v>
      </c>
      <c r="EQ446" s="62">
        <f t="shared" si="4626"/>
        <v>31462.662</v>
      </c>
      <c r="ER446" s="62">
        <f t="shared" si="4626"/>
        <v>32775.456000000006</v>
      </c>
      <c r="ES446" s="62">
        <f t="shared" si="4626"/>
        <v>39986.31</v>
      </c>
      <c r="ET446" s="62">
        <f t="shared" si="4626"/>
        <v>12500.082000000002</v>
      </c>
      <c r="EU446" s="62">
        <f t="shared" si="4626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614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 t="shared" si="4448"/>
        <v>1</v>
      </c>
      <c r="FS446" s="103" t="b">
        <f t="shared" si="4449"/>
        <v>1</v>
      </c>
      <c r="FT446" s="103" t="b">
        <f t="shared" si="4450"/>
        <v>1</v>
      </c>
      <c r="FU446" s="103" t="b">
        <f t="shared" si="4451"/>
        <v>0</v>
      </c>
      <c r="FV446" s="103" t="b">
        <f t="shared" si="4452"/>
        <v>1</v>
      </c>
      <c r="FW446" s="104" t="b">
        <f t="shared" si="4472"/>
        <v>0</v>
      </c>
      <c r="FX446" s="120" t="b">
        <f t="shared" si="4615"/>
        <v>1</v>
      </c>
      <c r="FY446" s="104" t="s">
        <v>368</v>
      </c>
      <c r="FZ446" s="104" t="b">
        <f t="shared" si="4616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617"/>
        <v>1</v>
      </c>
      <c r="GI446" s="8" t="b">
        <f t="shared" si="4618"/>
        <v>0</v>
      </c>
      <c r="GJ446" s="31" t="s">
        <v>203</v>
      </c>
    </row>
    <row r="447" spans="1:192" hidden="1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97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98"/>
        <v>0</v>
      </c>
      <c r="AF447" s="95">
        <f t="shared" si="4599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600"/>
        <v>34.404928933081194</v>
      </c>
      <c r="AO447" s="130" t="str">
        <f t="shared" si="4601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602"/>
        <v>0-02</v>
      </c>
      <c r="AW447" s="149">
        <f t="shared" si="4603"/>
        <v>0</v>
      </c>
      <c r="AX447" s="144"/>
      <c r="AY447" s="146">
        <f t="shared" si="4604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605"/>
        <v>0</v>
      </c>
      <c r="BG447" s="32">
        <v>0</v>
      </c>
      <c r="BH447" s="32">
        <f t="shared" si="4606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607"/>
        <v>81.964999999999989</v>
      </c>
      <c r="BR447" s="95">
        <f t="shared" si="4608"/>
        <v>13.32</v>
      </c>
      <c r="BS447" s="133">
        <f t="shared" ref="BS447:BW458" si="4627">BR447-BL447</f>
        <v>-87.47999999999999</v>
      </c>
      <c r="BT447" s="133">
        <f t="shared" si="4627"/>
        <v>-177.54999999999998</v>
      </c>
      <c r="BU447" s="133">
        <f t="shared" si="4627"/>
        <v>-261.34999999999997</v>
      </c>
      <c r="BV447" s="133">
        <f t="shared" si="4627"/>
        <v>-346.16999999999996</v>
      </c>
      <c r="BW447" s="133">
        <f t="shared" si="4627"/>
        <v>-421.28999999999996</v>
      </c>
      <c r="BX447" s="133">
        <f t="shared" ref="BX447:CO450" si="4628">BW447-$BQ447</f>
        <v>-503.25499999999994</v>
      </c>
      <c r="BY447" s="133">
        <f t="shared" si="4628"/>
        <v>-585.21999999999991</v>
      </c>
      <c r="BZ447" s="133">
        <f t="shared" si="4628"/>
        <v>-667.18499999999995</v>
      </c>
      <c r="CA447" s="133">
        <f t="shared" si="4628"/>
        <v>-749.15</v>
      </c>
      <c r="CB447" s="133">
        <f t="shared" si="4628"/>
        <v>-831.11500000000001</v>
      </c>
      <c r="CC447" s="133">
        <f t="shared" si="4628"/>
        <v>-913.08</v>
      </c>
      <c r="CD447" s="133">
        <f t="shared" si="4628"/>
        <v>-995.04500000000007</v>
      </c>
      <c r="CE447" s="133">
        <f t="shared" si="4628"/>
        <v>-1077.01</v>
      </c>
      <c r="CF447" s="133">
        <f t="shared" si="4628"/>
        <v>-1158.9749999999999</v>
      </c>
      <c r="CG447" s="133">
        <f t="shared" si="4628"/>
        <v>-1240.9399999999998</v>
      </c>
      <c r="CH447" s="133">
        <f t="shared" si="4628"/>
        <v>-1322.9049999999997</v>
      </c>
      <c r="CI447" s="133">
        <f t="shared" si="4628"/>
        <v>-1404.8699999999997</v>
      </c>
      <c r="CJ447" s="133">
        <f t="shared" si="4628"/>
        <v>-1486.8349999999996</v>
      </c>
      <c r="CK447" s="133">
        <f t="shared" si="4628"/>
        <v>-1568.7999999999995</v>
      </c>
      <c r="CL447" s="133">
        <f t="shared" si="4628"/>
        <v>-1650.7649999999994</v>
      </c>
      <c r="CM447" s="133">
        <f t="shared" si="4628"/>
        <v>-1732.7299999999993</v>
      </c>
      <c r="CN447" s="133">
        <f t="shared" si="4628"/>
        <v>-1814.6949999999993</v>
      </c>
      <c r="CO447" s="133">
        <f t="shared" si="4628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610"/>
        <v>0</v>
      </c>
      <c r="DB447" s="4">
        <f t="shared" si="4611"/>
        <v>0</v>
      </c>
      <c r="DC447" s="4">
        <f t="shared" si="4612"/>
        <v>0</v>
      </c>
      <c r="DD447" s="136">
        <f t="shared" si="4613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614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 t="shared" si="4448"/>
        <v>0</v>
      </c>
      <c r="FS447" s="150" t="b">
        <f t="shared" si="4449"/>
        <v>0</v>
      </c>
      <c r="FT447" s="150" t="b">
        <f t="shared" si="4450"/>
        <v>0</v>
      </c>
      <c r="FU447" s="150" t="b">
        <f t="shared" si="4451"/>
        <v>0</v>
      </c>
      <c r="FV447" s="150" t="b">
        <f t="shared" si="4452"/>
        <v>1</v>
      </c>
      <c r="FW447" s="104" t="b">
        <f t="shared" si="4472"/>
        <v>0</v>
      </c>
      <c r="FX447" s="150" t="b">
        <f t="shared" si="4615"/>
        <v>1</v>
      </c>
      <c r="FY447" s="104" t="s">
        <v>368</v>
      </c>
      <c r="FZ447" s="104" t="b">
        <f t="shared" si="4616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617"/>
        <v>1</v>
      </c>
      <c r="GI447" s="151" t="b">
        <f t="shared" si="4618"/>
        <v>0</v>
      </c>
      <c r="GJ447" s="31" t="s">
        <v>203</v>
      </c>
    </row>
    <row r="448" spans="1:192" hidden="1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97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98"/>
        <v>0</v>
      </c>
      <c r="AF448" s="95">
        <f t="shared" si="4599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600"/>
        <v>34.404928933081194</v>
      </c>
      <c r="AO448" s="133" t="str">
        <f t="shared" si="4601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602"/>
        <v>0-02</v>
      </c>
      <c r="AW448" s="117">
        <f t="shared" si="4603"/>
        <v>0</v>
      </c>
      <c r="AX448" s="14"/>
      <c r="AY448" s="25">
        <f t="shared" si="4604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605"/>
        <v>0</v>
      </c>
      <c r="BG448" s="32">
        <v>0</v>
      </c>
      <c r="BH448" s="32">
        <f t="shared" si="4606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607"/>
        <v>81.964999999999989</v>
      </c>
      <c r="BR448" s="95">
        <f t="shared" si="4608"/>
        <v>13.32</v>
      </c>
      <c r="BS448" s="133">
        <f t="shared" si="4627"/>
        <v>-87.47999999999999</v>
      </c>
      <c r="BT448" s="133">
        <f t="shared" si="4627"/>
        <v>-177.54999999999998</v>
      </c>
      <c r="BU448" s="133">
        <f t="shared" si="4627"/>
        <v>-261.34999999999997</v>
      </c>
      <c r="BV448" s="133">
        <f t="shared" si="4627"/>
        <v>-346.16999999999996</v>
      </c>
      <c r="BW448" s="133">
        <f t="shared" si="4627"/>
        <v>-421.28999999999996</v>
      </c>
      <c r="BX448" s="133">
        <f t="shared" si="4628"/>
        <v>-503.25499999999994</v>
      </c>
      <c r="BY448" s="133">
        <f t="shared" si="4628"/>
        <v>-585.21999999999991</v>
      </c>
      <c r="BZ448" s="133">
        <f t="shared" si="4628"/>
        <v>-667.18499999999995</v>
      </c>
      <c r="CA448" s="133">
        <f t="shared" si="4628"/>
        <v>-749.15</v>
      </c>
      <c r="CB448" s="133">
        <f t="shared" si="4628"/>
        <v>-831.11500000000001</v>
      </c>
      <c r="CC448" s="133">
        <f t="shared" si="4628"/>
        <v>-913.08</v>
      </c>
      <c r="CD448" s="133">
        <f t="shared" si="4628"/>
        <v>-995.04500000000007</v>
      </c>
      <c r="CE448" s="133">
        <f t="shared" si="4628"/>
        <v>-1077.01</v>
      </c>
      <c r="CF448" s="133">
        <f t="shared" si="4628"/>
        <v>-1158.9749999999999</v>
      </c>
      <c r="CG448" s="133">
        <f t="shared" si="4628"/>
        <v>-1240.9399999999998</v>
      </c>
      <c r="CH448" s="133">
        <f t="shared" si="4628"/>
        <v>-1322.9049999999997</v>
      </c>
      <c r="CI448" s="133">
        <f t="shared" si="4628"/>
        <v>-1404.8699999999997</v>
      </c>
      <c r="CJ448" s="133">
        <f t="shared" si="4628"/>
        <v>-1486.8349999999996</v>
      </c>
      <c r="CK448" s="133">
        <f t="shared" si="4628"/>
        <v>-1568.7999999999995</v>
      </c>
      <c r="CL448" s="133">
        <f t="shared" si="4628"/>
        <v>-1650.7649999999994</v>
      </c>
      <c r="CM448" s="133">
        <f t="shared" si="4628"/>
        <v>-1732.7299999999993</v>
      </c>
      <c r="CN448" s="133">
        <f t="shared" si="4628"/>
        <v>-1814.6949999999993</v>
      </c>
      <c r="CO448" s="133">
        <f t="shared" si="4628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610"/>
        <v>0</v>
      </c>
      <c r="DB448" s="4">
        <f t="shared" si="4611"/>
        <v>0</v>
      </c>
      <c r="DC448" s="4">
        <f t="shared" si="4612"/>
        <v>0</v>
      </c>
      <c r="DD448" s="136">
        <f t="shared" si="4613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629">BK448*$FH448</f>
        <v>35752.366799999996</v>
      </c>
      <c r="EQ448" s="62">
        <f t="shared" si="4629"/>
        <v>63026.207999999999</v>
      </c>
      <c r="ER448" s="62">
        <f t="shared" si="4629"/>
        <v>56317.168199999993</v>
      </c>
      <c r="ES448" s="62">
        <f t="shared" si="4629"/>
        <v>52396.788</v>
      </c>
      <c r="ET448" s="62">
        <f t="shared" si="4629"/>
        <v>53034.553199999995</v>
      </c>
      <c r="EU448" s="62">
        <f t="shared" si="4629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614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 t="shared" si="4448"/>
        <v>0</v>
      </c>
      <c r="FS448" s="103" t="b">
        <f t="shared" si="4449"/>
        <v>1</v>
      </c>
      <c r="FT448" s="103" t="b">
        <f t="shared" si="4450"/>
        <v>0</v>
      </c>
      <c r="FU448" s="103" t="b">
        <f t="shared" si="4451"/>
        <v>0</v>
      </c>
      <c r="FV448" s="103" t="b">
        <f t="shared" si="4452"/>
        <v>1</v>
      </c>
      <c r="FW448" s="104" t="b">
        <f t="shared" si="4472"/>
        <v>0</v>
      </c>
      <c r="FX448" s="120" t="b">
        <f t="shared" si="4615"/>
        <v>1</v>
      </c>
      <c r="FY448" s="104" t="s">
        <v>368</v>
      </c>
      <c r="FZ448" s="104" t="b">
        <f t="shared" si="4616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617"/>
        <v>1</v>
      </c>
      <c r="GI448" s="8" t="b">
        <f t="shared" si="4618"/>
        <v>0</v>
      </c>
      <c r="GJ448" s="31" t="s">
        <v>203</v>
      </c>
    </row>
    <row r="449" spans="1:192" ht="30" hidden="1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97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98"/>
        <v>0</v>
      </c>
      <c r="AF449" s="95">
        <f t="shared" si="4599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600"/>
        <v>1923.0769230769226</v>
      </c>
      <c r="AO449" s="130" t="str">
        <f t="shared" si="4601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602"/>
        <v>0-25 более 24</v>
      </c>
      <c r="AW449" s="149">
        <f t="shared" si="4603"/>
        <v>39356.61</v>
      </c>
      <c r="AX449" s="144"/>
      <c r="AY449" s="146">
        <f t="shared" si="4604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605"/>
        <v>0</v>
      </c>
      <c r="BG449" s="32">
        <v>0</v>
      </c>
      <c r="BH449" s="32">
        <f t="shared" si="4606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607"/>
        <v>0.39000000000000007</v>
      </c>
      <c r="BR449" s="95">
        <f t="shared" si="4608"/>
        <v>24.51</v>
      </c>
      <c r="BS449" s="133">
        <f t="shared" si="4627"/>
        <v>23.92</v>
      </c>
      <c r="BT449" s="133">
        <f t="shared" si="4627"/>
        <v>23.92</v>
      </c>
      <c r="BU449" s="133">
        <f t="shared" si="4627"/>
        <v>23.830000000000002</v>
      </c>
      <c r="BV449" s="133">
        <f t="shared" si="4627"/>
        <v>23.830000000000002</v>
      </c>
      <c r="BW449" s="133">
        <f t="shared" si="4627"/>
        <v>23.830000000000002</v>
      </c>
      <c r="BX449" s="133">
        <f t="shared" si="4628"/>
        <v>23.44</v>
      </c>
      <c r="BY449" s="133">
        <f t="shared" si="4628"/>
        <v>23.05</v>
      </c>
      <c r="BZ449" s="133">
        <f t="shared" si="4628"/>
        <v>22.66</v>
      </c>
      <c r="CA449" s="133">
        <f t="shared" si="4628"/>
        <v>22.27</v>
      </c>
      <c r="CB449" s="133">
        <f t="shared" si="4628"/>
        <v>21.88</v>
      </c>
      <c r="CC449" s="133">
        <f t="shared" si="4628"/>
        <v>21.49</v>
      </c>
      <c r="CD449" s="133">
        <f t="shared" si="4628"/>
        <v>21.099999999999998</v>
      </c>
      <c r="CE449" s="133">
        <f t="shared" si="4628"/>
        <v>20.709999999999997</v>
      </c>
      <c r="CF449" s="133">
        <f t="shared" si="4628"/>
        <v>20.319999999999997</v>
      </c>
      <c r="CG449" s="133">
        <f t="shared" si="4628"/>
        <v>19.929999999999996</v>
      </c>
      <c r="CH449" s="133">
        <f t="shared" si="4628"/>
        <v>19.539999999999996</v>
      </c>
      <c r="CI449" s="133">
        <f t="shared" si="4628"/>
        <v>19.149999999999995</v>
      </c>
      <c r="CJ449" s="133">
        <f t="shared" si="4628"/>
        <v>18.759999999999994</v>
      </c>
      <c r="CK449" s="133">
        <f t="shared" si="4628"/>
        <v>18.369999999999994</v>
      </c>
      <c r="CL449" s="133">
        <f t="shared" si="4628"/>
        <v>17.979999999999993</v>
      </c>
      <c r="CM449" s="133">
        <f t="shared" si="4628"/>
        <v>17.589999999999993</v>
      </c>
      <c r="CN449" s="133">
        <f t="shared" si="4628"/>
        <v>17.199999999999992</v>
      </c>
      <c r="CO449" s="133">
        <f t="shared" si="4628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630">IFERROR(CZ449/CY449,0)</f>
        <v>0</v>
      </c>
      <c r="DB449" s="4">
        <f t="shared" ref="DB449:DB458" si="4631">CY449*FH449</f>
        <v>0</v>
      </c>
      <c r="DC449" s="4">
        <f t="shared" ref="DC449:DC458" si="4632">CZ449*FH449</f>
        <v>0</v>
      </c>
      <c r="DD449" s="136">
        <f t="shared" ref="DD449:DD458" si="4633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614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 t="shared" si="4448"/>
        <v>0</v>
      </c>
      <c r="FS449" s="150" t="b">
        <f t="shared" si="4449"/>
        <v>0</v>
      </c>
      <c r="FT449" s="150" t="b">
        <f t="shared" si="4450"/>
        <v>0</v>
      </c>
      <c r="FU449" s="150" t="b">
        <f t="shared" si="4451"/>
        <v>0</v>
      </c>
      <c r="FV449" s="150" t="b">
        <f t="shared" si="4452"/>
        <v>1</v>
      </c>
      <c r="FW449" s="104" t="b">
        <f t="shared" si="4472"/>
        <v>0</v>
      </c>
      <c r="FX449" s="150" t="b">
        <f t="shared" si="4615"/>
        <v>1</v>
      </c>
      <c r="FY449" s="104" t="s">
        <v>368</v>
      </c>
      <c r="FZ449" s="104" t="b">
        <f t="shared" si="4616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617"/>
        <v>1</v>
      </c>
      <c r="GI449" s="151" t="b">
        <f t="shared" si="4618"/>
        <v>0</v>
      </c>
      <c r="GJ449" s="31" t="s">
        <v>203</v>
      </c>
    </row>
    <row r="450" spans="1:192" ht="60" hidden="1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97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98"/>
        <v>0</v>
      </c>
      <c r="AF450" s="95">
        <f t="shared" si="4599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600"/>
        <v>1923.0769230769226</v>
      </c>
      <c r="AO450" s="133" t="str">
        <f t="shared" si="4601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602"/>
        <v>0-25 более 24</v>
      </c>
      <c r="AW450" s="117">
        <f t="shared" si="4603"/>
        <v>39356.61</v>
      </c>
      <c r="AX450" s="25">
        <f>MONTH(BC450)+6</f>
        <v>18</v>
      </c>
      <c r="AY450" s="25">
        <f t="shared" si="4604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605"/>
        <v>0</v>
      </c>
      <c r="BG450" s="32">
        <v>0</v>
      </c>
      <c r="BH450" s="32">
        <f t="shared" si="4606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607"/>
        <v>0.39000000000000007</v>
      </c>
      <c r="BR450" s="95">
        <f t="shared" si="4608"/>
        <v>24.51</v>
      </c>
      <c r="BS450" s="133">
        <f t="shared" si="4627"/>
        <v>23.92</v>
      </c>
      <c r="BT450" s="133">
        <f t="shared" si="4627"/>
        <v>23.92</v>
      </c>
      <c r="BU450" s="133">
        <f t="shared" si="4627"/>
        <v>23.830000000000002</v>
      </c>
      <c r="BV450" s="133">
        <f t="shared" si="4627"/>
        <v>23.830000000000002</v>
      </c>
      <c r="BW450" s="133">
        <f t="shared" si="4627"/>
        <v>23.830000000000002</v>
      </c>
      <c r="BX450" s="133">
        <f t="shared" si="4628"/>
        <v>23.44</v>
      </c>
      <c r="BY450" s="133">
        <f t="shared" si="4628"/>
        <v>23.05</v>
      </c>
      <c r="BZ450" s="133">
        <f t="shared" si="4628"/>
        <v>22.66</v>
      </c>
      <c r="CA450" s="133">
        <f t="shared" si="4628"/>
        <v>22.27</v>
      </c>
      <c r="CB450" s="133">
        <f t="shared" si="4628"/>
        <v>21.88</v>
      </c>
      <c r="CC450" s="133">
        <f t="shared" si="4628"/>
        <v>21.49</v>
      </c>
      <c r="CD450" s="133">
        <f t="shared" si="4628"/>
        <v>21.099999999999998</v>
      </c>
      <c r="CE450" s="133">
        <f t="shared" si="4628"/>
        <v>20.709999999999997</v>
      </c>
      <c r="CF450" s="133">
        <f t="shared" si="4628"/>
        <v>20.319999999999997</v>
      </c>
      <c r="CG450" s="133">
        <f t="shared" si="4628"/>
        <v>19.929999999999996</v>
      </c>
      <c r="CH450" s="133">
        <f t="shared" si="4628"/>
        <v>19.539999999999996</v>
      </c>
      <c r="CI450" s="133">
        <f t="shared" si="4628"/>
        <v>19.149999999999995</v>
      </c>
      <c r="CJ450" s="133">
        <f t="shared" si="4628"/>
        <v>18.759999999999994</v>
      </c>
      <c r="CK450" s="133">
        <f t="shared" si="4628"/>
        <v>18.369999999999994</v>
      </c>
      <c r="CL450" s="133">
        <f t="shared" si="4628"/>
        <v>17.979999999999993</v>
      </c>
      <c r="CM450" s="133">
        <f t="shared" si="4628"/>
        <v>17.589999999999993</v>
      </c>
      <c r="CN450" s="133">
        <f t="shared" si="4628"/>
        <v>17.199999999999992</v>
      </c>
      <c r="CO450" s="133">
        <f t="shared" si="4628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630"/>
        <v>0</v>
      </c>
      <c r="DB450" s="4">
        <f t="shared" si="4631"/>
        <v>0</v>
      </c>
      <c r="DC450" s="4">
        <f t="shared" si="4632"/>
        <v>0</v>
      </c>
      <c r="DD450" s="136">
        <f t="shared" si="4633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634">BK450*$FH450</f>
        <v>896.96460000000002</v>
      </c>
      <c r="EQ450" s="62">
        <f t="shared" si="4634"/>
        <v>1080.0185999999999</v>
      </c>
      <c r="ER450" s="62">
        <f t="shared" si="4634"/>
        <v>0</v>
      </c>
      <c r="ES450" s="62">
        <f t="shared" si="4634"/>
        <v>164.74859999999998</v>
      </c>
      <c r="ET450" s="62">
        <f t="shared" si="4634"/>
        <v>0</v>
      </c>
      <c r="EU450" s="62">
        <f t="shared" si="4634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614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 t="shared" si="4448"/>
        <v>1</v>
      </c>
      <c r="FS450" s="103" t="b">
        <f t="shared" si="4449"/>
        <v>1</v>
      </c>
      <c r="FT450" s="103" t="b">
        <f t="shared" si="4450"/>
        <v>1</v>
      </c>
      <c r="FU450" s="103" t="b">
        <f t="shared" si="4451"/>
        <v>0</v>
      </c>
      <c r="FV450" s="103" t="b">
        <f t="shared" si="4452"/>
        <v>1</v>
      </c>
      <c r="FW450" s="104" t="b">
        <f t="shared" si="4472"/>
        <v>0</v>
      </c>
      <c r="FX450" s="120" t="b">
        <f t="shared" si="4615"/>
        <v>1</v>
      </c>
      <c r="FY450" s="104" t="s">
        <v>368</v>
      </c>
      <c r="FZ450" s="104" t="b">
        <f t="shared" si="4616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617"/>
        <v>1</v>
      </c>
      <c r="GI450" s="8" t="b">
        <f t="shared" si="4618"/>
        <v>0</v>
      </c>
      <c r="GJ450" s="31" t="s">
        <v>203</v>
      </c>
    </row>
    <row r="451" spans="1:192" hidden="1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635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636">AA451*FH451</f>
        <v>0</v>
      </c>
      <c r="AF451" s="95">
        <f t="shared" ref="AF451:AF464" si="4637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638">IFERROR(S451/BQ451*30,"нет оборота")</f>
        <v>нет оборота</v>
      </c>
      <c r="AO451" s="130" t="str">
        <f t="shared" ref="AO451:AO464" si="4639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640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641">IF(AT451="Да",W451,0)</f>
        <v>29976.749999999996</v>
      </c>
      <c r="AX451" s="144"/>
      <c r="AY451" s="146">
        <f t="shared" ref="AY451:AY464" si="4642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43">BE451*FH451</f>
        <v>0</v>
      </c>
      <c r="BG451" s="32">
        <v>0</v>
      </c>
      <c r="BH451" s="32">
        <f t="shared" ref="BH451:BH464" si="4644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45">IF(COUNTIF(BK451:BP451,"&gt;0")=0,0,SUM(BK451:BP451)/COUNTIF(BK451:BP451,"&gt;0"))</f>
        <v>0</v>
      </c>
      <c r="BR451" s="95">
        <f t="shared" ref="BR451:BR464" si="4646">IF(OR(Q451=0,SUM(BK451:BP451)=0,V451&gt;Q451),V451-BK451,Q451-BK451)</f>
        <v>225</v>
      </c>
      <c r="BS451" s="133">
        <f t="shared" si="4627"/>
        <v>225</v>
      </c>
      <c r="BT451" s="133">
        <f t="shared" si="4627"/>
        <v>225</v>
      </c>
      <c r="BU451" s="133">
        <f t="shared" si="4627"/>
        <v>225</v>
      </c>
      <c r="BV451" s="133">
        <f t="shared" si="4627"/>
        <v>225</v>
      </c>
      <c r="BW451" s="133">
        <f t="shared" si="4627"/>
        <v>225</v>
      </c>
      <c r="BX451" s="133">
        <f t="shared" ref="BX451:CO452" si="4647">BW451-$BQ451</f>
        <v>225</v>
      </c>
      <c r="BY451" s="133">
        <f t="shared" si="4647"/>
        <v>225</v>
      </c>
      <c r="BZ451" s="133">
        <f t="shared" si="4647"/>
        <v>225</v>
      </c>
      <c r="CA451" s="133">
        <f t="shared" si="4647"/>
        <v>225</v>
      </c>
      <c r="CB451" s="133">
        <f t="shared" si="4647"/>
        <v>225</v>
      </c>
      <c r="CC451" s="133">
        <f t="shared" si="4647"/>
        <v>225</v>
      </c>
      <c r="CD451" s="133">
        <f t="shared" si="4647"/>
        <v>225</v>
      </c>
      <c r="CE451" s="133">
        <f t="shared" si="4647"/>
        <v>225</v>
      </c>
      <c r="CF451" s="133">
        <f t="shared" si="4647"/>
        <v>225</v>
      </c>
      <c r="CG451" s="133">
        <f t="shared" si="4647"/>
        <v>225</v>
      </c>
      <c r="CH451" s="133">
        <f t="shared" si="4647"/>
        <v>225</v>
      </c>
      <c r="CI451" s="133">
        <f t="shared" si="4647"/>
        <v>225</v>
      </c>
      <c r="CJ451" s="133">
        <f t="shared" si="4647"/>
        <v>225</v>
      </c>
      <c r="CK451" s="133">
        <f t="shared" si="4647"/>
        <v>225</v>
      </c>
      <c r="CL451" s="133">
        <f t="shared" si="4647"/>
        <v>225</v>
      </c>
      <c r="CM451" s="133">
        <f t="shared" si="4647"/>
        <v>225</v>
      </c>
      <c r="CN451" s="133">
        <f t="shared" si="4647"/>
        <v>225</v>
      </c>
      <c r="CO451" s="133">
        <f t="shared" si="4647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630"/>
        <v>0</v>
      </c>
      <c r="DB451" s="4">
        <f t="shared" si="4631"/>
        <v>0</v>
      </c>
      <c r="DC451" s="4">
        <f t="shared" si="4632"/>
        <v>0</v>
      </c>
      <c r="DD451" s="136">
        <f t="shared" si="4633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48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 t="shared" si="4448"/>
        <v>0</v>
      </c>
      <c r="FS451" s="150" t="b">
        <f t="shared" si="4449"/>
        <v>0</v>
      </c>
      <c r="FT451" s="150" t="b">
        <f t="shared" si="4450"/>
        <v>0</v>
      </c>
      <c r="FU451" s="150" t="b">
        <f t="shared" si="4451"/>
        <v>0</v>
      </c>
      <c r="FV451" s="150" t="b">
        <f t="shared" si="4452"/>
        <v>1</v>
      </c>
      <c r="FW451" s="104" t="b">
        <f t="shared" si="4472"/>
        <v>0</v>
      </c>
      <c r="FX451" s="150" t="b">
        <f t="shared" ref="FX451:FX464" si="4649">EXACT(FQ451,BI451)</f>
        <v>1</v>
      </c>
      <c r="FY451" s="104" t="s">
        <v>368</v>
      </c>
      <c r="FZ451" s="104" t="b">
        <f t="shared" ref="FZ451:FZ464" si="4650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51">EXACT(GD451,C451)</f>
        <v>1</v>
      </c>
      <c r="GI451" s="151" t="b">
        <f t="shared" ref="GI451:GI464" si="4652">EXACT(GG451,G451)</f>
        <v>0</v>
      </c>
      <c r="GJ451" s="31" t="s">
        <v>203</v>
      </c>
    </row>
    <row r="452" spans="1:192" ht="45" hidden="1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635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636"/>
        <v>0</v>
      </c>
      <c r="AF452" s="95">
        <f t="shared" si="4637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638"/>
        <v>нет оборота</v>
      </c>
      <c r="AO452" s="133" t="str">
        <f t="shared" si="4639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640"/>
        <v>Нет планов</v>
      </c>
      <c r="AW452" s="117">
        <f t="shared" si="4641"/>
        <v>29976.749999999996</v>
      </c>
      <c r="AX452" s="14">
        <f>MONTH(BC452)-6</f>
        <v>6</v>
      </c>
      <c r="AY452" s="25">
        <f t="shared" si="4642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43"/>
        <v>0</v>
      </c>
      <c r="BG452" s="32">
        <v>0</v>
      </c>
      <c r="BH452" s="32">
        <f t="shared" si="4644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45"/>
        <v>0</v>
      </c>
      <c r="BR452" s="95">
        <f t="shared" si="4646"/>
        <v>225</v>
      </c>
      <c r="BS452" s="133">
        <f t="shared" si="4627"/>
        <v>225</v>
      </c>
      <c r="BT452" s="133">
        <f t="shared" si="4627"/>
        <v>225</v>
      </c>
      <c r="BU452" s="133">
        <f t="shared" si="4627"/>
        <v>225</v>
      </c>
      <c r="BV452" s="133">
        <f t="shared" si="4627"/>
        <v>225</v>
      </c>
      <c r="BW452" s="133">
        <f t="shared" si="4627"/>
        <v>225</v>
      </c>
      <c r="BX452" s="133">
        <f t="shared" si="4647"/>
        <v>225</v>
      </c>
      <c r="BY452" s="133">
        <f t="shared" si="4647"/>
        <v>225</v>
      </c>
      <c r="BZ452" s="133">
        <f t="shared" si="4647"/>
        <v>225</v>
      </c>
      <c r="CA452" s="133">
        <f t="shared" si="4647"/>
        <v>225</v>
      </c>
      <c r="CB452" s="133">
        <f t="shared" si="4647"/>
        <v>225</v>
      </c>
      <c r="CC452" s="133">
        <f t="shared" si="4647"/>
        <v>225</v>
      </c>
      <c r="CD452" s="133">
        <f t="shared" si="4647"/>
        <v>225</v>
      </c>
      <c r="CE452" s="133">
        <f t="shared" si="4647"/>
        <v>225</v>
      </c>
      <c r="CF452" s="133">
        <f t="shared" si="4647"/>
        <v>225</v>
      </c>
      <c r="CG452" s="133">
        <f t="shared" si="4647"/>
        <v>225</v>
      </c>
      <c r="CH452" s="133">
        <f t="shared" si="4647"/>
        <v>225</v>
      </c>
      <c r="CI452" s="133">
        <f t="shared" si="4647"/>
        <v>225</v>
      </c>
      <c r="CJ452" s="133">
        <f t="shared" si="4647"/>
        <v>225</v>
      </c>
      <c r="CK452" s="133">
        <f t="shared" si="4647"/>
        <v>225</v>
      </c>
      <c r="CL452" s="133">
        <f t="shared" si="4647"/>
        <v>225</v>
      </c>
      <c r="CM452" s="133">
        <f t="shared" si="4647"/>
        <v>225</v>
      </c>
      <c r="CN452" s="133">
        <f t="shared" si="4647"/>
        <v>225</v>
      </c>
      <c r="CO452" s="133">
        <f t="shared" si="4647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630"/>
        <v>0</v>
      </c>
      <c r="DB452" s="4">
        <f t="shared" si="4631"/>
        <v>0</v>
      </c>
      <c r="DC452" s="4">
        <f t="shared" si="4632"/>
        <v>0</v>
      </c>
      <c r="DD452" s="136">
        <f t="shared" si="4633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53">BK452*$FH452</f>
        <v>0</v>
      </c>
      <c r="EQ452" s="62">
        <f t="shared" si="4653"/>
        <v>0</v>
      </c>
      <c r="ER452" s="62">
        <f t="shared" si="4653"/>
        <v>0</v>
      </c>
      <c r="ES452" s="62">
        <f t="shared" si="4653"/>
        <v>0</v>
      </c>
      <c r="ET452" s="62">
        <f t="shared" si="4653"/>
        <v>0</v>
      </c>
      <c r="EU452" s="62">
        <f t="shared" si="4653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48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 t="shared" si="4448"/>
        <v>1</v>
      </c>
      <c r="FS452" s="103" t="b">
        <f t="shared" si="4449"/>
        <v>1</v>
      </c>
      <c r="FT452" s="103" t="b">
        <f t="shared" si="4450"/>
        <v>1</v>
      </c>
      <c r="FU452" s="103" t="b">
        <f t="shared" si="4451"/>
        <v>0</v>
      </c>
      <c r="FV452" s="103" t="b">
        <f t="shared" si="4452"/>
        <v>1</v>
      </c>
      <c r="FW452" s="104" t="b">
        <f t="shared" si="4472"/>
        <v>0</v>
      </c>
      <c r="FX452" s="120" t="b">
        <f t="shared" si="4649"/>
        <v>1</v>
      </c>
      <c r="FY452" s="104" t="s">
        <v>368</v>
      </c>
      <c r="FZ452" s="104" t="b">
        <f t="shared" si="4650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51"/>
        <v>1</v>
      </c>
      <c r="GI452" s="8" t="b">
        <f t="shared" si="4652"/>
        <v>0</v>
      </c>
      <c r="GJ452" s="31" t="s">
        <v>203</v>
      </c>
    </row>
    <row r="453" spans="1:192" hidden="1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635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636"/>
        <v>0</v>
      </c>
      <c r="AF453" s="95">
        <f t="shared" si="4637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638"/>
        <v>86.191187675680382</v>
      </c>
      <c r="AO453" s="130" t="str">
        <f t="shared" si="4639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640"/>
        <v>0-03</v>
      </c>
      <c r="AW453" s="149">
        <f t="shared" si="4641"/>
        <v>0</v>
      </c>
      <c r="AX453" s="144"/>
      <c r="AY453" s="146">
        <f t="shared" si="4642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43"/>
        <v>0</v>
      </c>
      <c r="BG453" s="32">
        <v>0</v>
      </c>
      <c r="BH453" s="32">
        <f t="shared" si="4644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45"/>
        <v>13.878333333333336</v>
      </c>
      <c r="BR453" s="95">
        <f t="shared" si="4646"/>
        <v>33.75</v>
      </c>
      <c r="BS453" s="133">
        <f t="shared" si="4627"/>
        <v>7.6400000000000006</v>
      </c>
      <c r="BT453" s="133">
        <f t="shared" si="4627"/>
        <v>-2.84</v>
      </c>
      <c r="BU453" s="133">
        <f t="shared" si="4627"/>
        <v>-13.52</v>
      </c>
      <c r="BV453" s="133">
        <f t="shared" si="4627"/>
        <v>-24.240000000000002</v>
      </c>
      <c r="BW453" s="133">
        <f t="shared" si="4627"/>
        <v>-33.270000000000003</v>
      </c>
      <c r="BX453" s="133">
        <f t="shared" ref="BX453:CO458" si="4654">BW453-$BQ453</f>
        <v>-47.148333333333341</v>
      </c>
      <c r="BY453" s="133">
        <f t="shared" si="4654"/>
        <v>-61.026666666666678</v>
      </c>
      <c r="BZ453" s="133">
        <f t="shared" si="4654"/>
        <v>-74.905000000000015</v>
      </c>
      <c r="CA453" s="133">
        <f t="shared" si="4654"/>
        <v>-88.783333333333346</v>
      </c>
      <c r="CB453" s="133">
        <f t="shared" si="4654"/>
        <v>-102.66166666666668</v>
      </c>
      <c r="CC453" s="133">
        <f t="shared" si="4654"/>
        <v>-116.54</v>
      </c>
      <c r="CD453" s="133">
        <f t="shared" si="4654"/>
        <v>-130.41833333333335</v>
      </c>
      <c r="CE453" s="133">
        <f t="shared" si="4654"/>
        <v>-144.29666666666668</v>
      </c>
      <c r="CF453" s="133">
        <f t="shared" si="4654"/>
        <v>-158.17500000000001</v>
      </c>
      <c r="CG453" s="133">
        <f t="shared" si="4654"/>
        <v>-172.05333333333334</v>
      </c>
      <c r="CH453" s="133">
        <f t="shared" si="4654"/>
        <v>-185.93166666666667</v>
      </c>
      <c r="CI453" s="133">
        <f t="shared" si="4654"/>
        <v>-199.81</v>
      </c>
      <c r="CJ453" s="133">
        <f t="shared" si="4654"/>
        <v>-213.68833333333333</v>
      </c>
      <c r="CK453" s="133">
        <f t="shared" si="4654"/>
        <v>-227.56666666666666</v>
      </c>
      <c r="CL453" s="133">
        <f t="shared" si="4654"/>
        <v>-241.44499999999999</v>
      </c>
      <c r="CM453" s="133">
        <f t="shared" si="4654"/>
        <v>-255.32333333333332</v>
      </c>
      <c r="CN453" s="133">
        <f t="shared" si="4654"/>
        <v>-269.20166666666665</v>
      </c>
      <c r="CO453" s="133">
        <f t="shared" si="4654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630"/>
        <v>0</v>
      </c>
      <c r="DB453" s="4">
        <f t="shared" si="4631"/>
        <v>0</v>
      </c>
      <c r="DC453" s="4">
        <f t="shared" si="4632"/>
        <v>0</v>
      </c>
      <c r="DD453" s="136">
        <f t="shared" si="4633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48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 t="shared" si="4448"/>
        <v>0</v>
      </c>
      <c r="FS453" s="150" t="b">
        <f t="shared" si="4449"/>
        <v>0</v>
      </c>
      <c r="FT453" s="150" t="b">
        <f t="shared" si="4450"/>
        <v>0</v>
      </c>
      <c r="FU453" s="150" t="b">
        <f t="shared" si="4451"/>
        <v>0</v>
      </c>
      <c r="FV453" s="150" t="b">
        <f t="shared" si="4452"/>
        <v>1</v>
      </c>
      <c r="FW453" s="104" t="b">
        <f t="shared" si="4472"/>
        <v>0</v>
      </c>
      <c r="FX453" s="150" t="b">
        <f t="shared" si="4649"/>
        <v>1</v>
      </c>
      <c r="FY453" s="104" t="s">
        <v>368</v>
      </c>
      <c r="FZ453" s="104" t="b">
        <f t="shared" si="4650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51"/>
        <v>1</v>
      </c>
      <c r="GI453" s="151" t="b">
        <f t="shared" si="4652"/>
        <v>0</v>
      </c>
      <c r="GJ453" s="31" t="s">
        <v>203</v>
      </c>
    </row>
    <row r="454" spans="1:192" hidden="1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635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636"/>
        <v>0</v>
      </c>
      <c r="AF454" s="95">
        <f t="shared" si="4637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638"/>
        <v>86.191187675680382</v>
      </c>
      <c r="AO454" s="133" t="str">
        <f t="shared" si="4639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640"/>
        <v>0-03</v>
      </c>
      <c r="AW454" s="117">
        <f t="shared" si="4641"/>
        <v>0</v>
      </c>
      <c r="AX454" s="14"/>
      <c r="AY454" s="25">
        <f t="shared" si="4642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43"/>
        <v>0</v>
      </c>
      <c r="BG454" s="32">
        <v>0</v>
      </c>
      <c r="BH454" s="32">
        <f t="shared" si="4644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45"/>
        <v>13.878333333333336</v>
      </c>
      <c r="BR454" s="95">
        <f t="shared" si="4646"/>
        <v>33.75</v>
      </c>
      <c r="BS454" s="133">
        <f t="shared" si="4627"/>
        <v>7.6400000000000006</v>
      </c>
      <c r="BT454" s="133">
        <f t="shared" si="4627"/>
        <v>-2.84</v>
      </c>
      <c r="BU454" s="133">
        <f t="shared" si="4627"/>
        <v>-13.52</v>
      </c>
      <c r="BV454" s="133">
        <f t="shared" si="4627"/>
        <v>-24.240000000000002</v>
      </c>
      <c r="BW454" s="133">
        <f t="shared" si="4627"/>
        <v>-33.270000000000003</v>
      </c>
      <c r="BX454" s="133">
        <f t="shared" si="4654"/>
        <v>-47.148333333333341</v>
      </c>
      <c r="BY454" s="133">
        <f t="shared" si="4654"/>
        <v>-61.026666666666678</v>
      </c>
      <c r="BZ454" s="133">
        <f t="shared" si="4654"/>
        <v>-74.905000000000015</v>
      </c>
      <c r="CA454" s="133">
        <f t="shared" si="4654"/>
        <v>-88.783333333333346</v>
      </c>
      <c r="CB454" s="133">
        <f t="shared" si="4654"/>
        <v>-102.66166666666668</v>
      </c>
      <c r="CC454" s="133">
        <f t="shared" si="4654"/>
        <v>-116.54</v>
      </c>
      <c r="CD454" s="133">
        <f t="shared" si="4654"/>
        <v>-130.41833333333335</v>
      </c>
      <c r="CE454" s="133">
        <f t="shared" si="4654"/>
        <v>-144.29666666666668</v>
      </c>
      <c r="CF454" s="133">
        <f t="shared" si="4654"/>
        <v>-158.17500000000001</v>
      </c>
      <c r="CG454" s="133">
        <f t="shared" si="4654"/>
        <v>-172.05333333333334</v>
      </c>
      <c r="CH454" s="133">
        <f t="shared" si="4654"/>
        <v>-185.93166666666667</v>
      </c>
      <c r="CI454" s="133">
        <f t="shared" si="4654"/>
        <v>-199.81</v>
      </c>
      <c r="CJ454" s="133">
        <f t="shared" si="4654"/>
        <v>-213.68833333333333</v>
      </c>
      <c r="CK454" s="133">
        <f t="shared" si="4654"/>
        <v>-227.56666666666666</v>
      </c>
      <c r="CL454" s="133">
        <f t="shared" si="4654"/>
        <v>-241.44499999999999</v>
      </c>
      <c r="CM454" s="133">
        <f t="shared" si="4654"/>
        <v>-255.32333333333332</v>
      </c>
      <c r="CN454" s="133">
        <f t="shared" si="4654"/>
        <v>-269.20166666666665</v>
      </c>
      <c r="CO454" s="133">
        <f t="shared" si="4654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630"/>
        <v>0</v>
      </c>
      <c r="DB454" s="4">
        <f t="shared" si="4631"/>
        <v>0</v>
      </c>
      <c r="DC454" s="4">
        <f t="shared" si="4632"/>
        <v>0</v>
      </c>
      <c r="DD454" s="136">
        <f t="shared" si="4633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55">BK454*$FH454</f>
        <v>7393.75</v>
      </c>
      <c r="EQ454" s="62">
        <f t="shared" si="4655"/>
        <v>11880.05</v>
      </c>
      <c r="ER454" s="62">
        <f t="shared" si="4655"/>
        <v>4768.4000000000005</v>
      </c>
      <c r="ES454" s="62">
        <f t="shared" si="4655"/>
        <v>4859.3999999999996</v>
      </c>
      <c r="ET454" s="62">
        <f t="shared" si="4655"/>
        <v>4877.6000000000004</v>
      </c>
      <c r="EU454" s="62">
        <f t="shared" si="4655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48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 t="shared" si="4448"/>
        <v>1</v>
      </c>
      <c r="FS454" s="103" t="b">
        <f t="shared" si="4449"/>
        <v>1</v>
      </c>
      <c r="FT454" s="103" t="b">
        <f t="shared" si="4450"/>
        <v>0</v>
      </c>
      <c r="FU454" s="103" t="b">
        <f t="shared" si="4451"/>
        <v>0</v>
      </c>
      <c r="FV454" s="103" t="b">
        <f t="shared" si="4452"/>
        <v>1</v>
      </c>
      <c r="FW454" s="104" t="b">
        <f t="shared" si="4472"/>
        <v>0</v>
      </c>
      <c r="FX454" s="120" t="b">
        <f t="shared" si="4649"/>
        <v>1</v>
      </c>
      <c r="FY454" s="104" t="s">
        <v>368</v>
      </c>
      <c r="FZ454" s="104" t="b">
        <f t="shared" si="4650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51"/>
        <v>1</v>
      </c>
      <c r="GI454" s="8" t="b">
        <f t="shared" si="4652"/>
        <v>0</v>
      </c>
      <c r="GJ454" s="31" t="s">
        <v>203</v>
      </c>
    </row>
    <row r="455" spans="1:192" hidden="1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635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636"/>
        <v>0</v>
      </c>
      <c r="AF455" s="95">
        <f t="shared" si="4637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638"/>
        <v>4.4428495712540776</v>
      </c>
      <c r="AO455" s="130" t="str">
        <f t="shared" si="4639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640"/>
        <v>0-02</v>
      </c>
      <c r="AW455" s="149">
        <f t="shared" si="4641"/>
        <v>0</v>
      </c>
      <c r="AX455" s="144"/>
      <c r="AY455" s="146">
        <f t="shared" si="4642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43"/>
        <v>0</v>
      </c>
      <c r="BG455" s="32">
        <v>0</v>
      </c>
      <c r="BH455" s="32">
        <f t="shared" si="4644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45"/>
        <v>259.185</v>
      </c>
      <c r="BR455" s="95">
        <f t="shared" si="4646"/>
        <v>188.46499914474785</v>
      </c>
      <c r="BS455" s="133">
        <f t="shared" si="4627"/>
        <v>-37.725000855252148</v>
      </c>
      <c r="BT455" s="133">
        <f t="shared" si="4627"/>
        <v>-324.64500085525219</v>
      </c>
      <c r="BU455" s="133">
        <f t="shared" si="4627"/>
        <v>-623.49500085525221</v>
      </c>
      <c r="BV455" s="133">
        <f t="shared" si="4627"/>
        <v>-913.90500085525218</v>
      </c>
      <c r="BW455" s="133">
        <f t="shared" si="4627"/>
        <v>-1209.0550008552523</v>
      </c>
      <c r="BX455" s="133">
        <f t="shared" si="4654"/>
        <v>-1468.2400008552522</v>
      </c>
      <c r="BY455" s="133">
        <f t="shared" si="4654"/>
        <v>-1727.4250008552522</v>
      </c>
      <c r="BZ455" s="133">
        <f t="shared" si="4654"/>
        <v>-1986.6100008552521</v>
      </c>
      <c r="CA455" s="133">
        <f t="shared" si="4654"/>
        <v>-2245.7950008552521</v>
      </c>
      <c r="CB455" s="133">
        <f t="shared" si="4654"/>
        <v>-2504.980000855252</v>
      </c>
      <c r="CC455" s="133">
        <f t="shared" si="4654"/>
        <v>-2764.1650008552519</v>
      </c>
      <c r="CD455" s="133">
        <f t="shared" si="4654"/>
        <v>-3023.3500008552519</v>
      </c>
      <c r="CE455" s="133">
        <f t="shared" si="4654"/>
        <v>-3282.5350008552518</v>
      </c>
      <c r="CF455" s="133">
        <f t="shared" si="4654"/>
        <v>-3541.7200008552518</v>
      </c>
      <c r="CG455" s="133">
        <f t="shared" si="4654"/>
        <v>-3800.9050008552517</v>
      </c>
      <c r="CH455" s="133">
        <f t="shared" si="4654"/>
        <v>-4060.0900008552517</v>
      </c>
      <c r="CI455" s="133">
        <f t="shared" si="4654"/>
        <v>-4319.2750008552521</v>
      </c>
      <c r="CJ455" s="133">
        <f t="shared" si="4654"/>
        <v>-4578.4600008552525</v>
      </c>
      <c r="CK455" s="133">
        <f t="shared" si="4654"/>
        <v>-4837.6450008552529</v>
      </c>
      <c r="CL455" s="133">
        <f t="shared" si="4654"/>
        <v>-5096.8300008552533</v>
      </c>
      <c r="CM455" s="133">
        <f t="shared" si="4654"/>
        <v>-5356.0150008552537</v>
      </c>
      <c r="CN455" s="133">
        <f t="shared" si="4654"/>
        <v>-5615.2000008552541</v>
      </c>
      <c r="CO455" s="133">
        <f t="shared" si="4654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630"/>
        <v>0</v>
      </c>
      <c r="DB455" s="4">
        <f t="shared" si="4631"/>
        <v>0</v>
      </c>
      <c r="DC455" s="4">
        <f t="shared" si="4632"/>
        <v>0</v>
      </c>
      <c r="DD455" s="136">
        <f t="shared" si="4633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48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 t="shared" ref="FR455:FR502" si="4656">EXACT(FK455,BA455)</f>
        <v>0</v>
      </c>
      <c r="FS455" s="150" t="b">
        <f t="shared" ref="FS455:FS502" si="4657">EXACT(FL455,BB455)</f>
        <v>0</v>
      </c>
      <c r="FT455" s="150" t="b">
        <f t="shared" ref="FT455:FT502" si="4658">EXACT(FM455,BC455)</f>
        <v>0</v>
      </c>
      <c r="FU455" s="150" t="b">
        <f t="shared" ref="FU455:FU502" si="4659">EXACT(FN455,BD455)</f>
        <v>0</v>
      </c>
      <c r="FV455" s="150" t="b">
        <f t="shared" ref="FV455:FV502" si="4660">EXACT(FO455,BE455)</f>
        <v>1</v>
      </c>
      <c r="FW455" s="104" t="b">
        <f t="shared" si="4472"/>
        <v>0</v>
      </c>
      <c r="FX455" s="150" t="b">
        <f t="shared" si="4649"/>
        <v>1</v>
      </c>
      <c r="FY455" s="104" t="s">
        <v>368</v>
      </c>
      <c r="FZ455" s="104" t="b">
        <f t="shared" si="4650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51"/>
        <v>1</v>
      </c>
      <c r="GI455" s="151" t="b">
        <f t="shared" si="4652"/>
        <v>0</v>
      </c>
      <c r="GJ455" s="31" t="s">
        <v>203</v>
      </c>
    </row>
    <row r="456" spans="1:192" ht="45" hidden="1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635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636"/>
        <v>0</v>
      </c>
      <c r="AF456" s="95">
        <f t="shared" si="4637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638"/>
        <v>4.4428495712540776</v>
      </c>
      <c r="AO456" s="133" t="str">
        <f t="shared" si="4639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640"/>
        <v>0-02</v>
      </c>
      <c r="AW456" s="117">
        <f t="shared" si="4641"/>
        <v>0</v>
      </c>
      <c r="AX456" s="14"/>
      <c r="AY456" s="25">
        <f t="shared" si="4642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43"/>
        <v>0</v>
      </c>
      <c r="BG456" s="32">
        <v>0</v>
      </c>
      <c r="BH456" s="32">
        <f t="shared" si="4644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45"/>
        <v>259.185</v>
      </c>
      <c r="BR456" s="95">
        <f t="shared" si="4646"/>
        <v>188.46499914474785</v>
      </c>
      <c r="BS456" s="133">
        <f t="shared" si="4627"/>
        <v>-37.725000855252148</v>
      </c>
      <c r="BT456" s="133">
        <f t="shared" si="4627"/>
        <v>-324.64500085525219</v>
      </c>
      <c r="BU456" s="133">
        <f t="shared" si="4627"/>
        <v>-623.49500085525221</v>
      </c>
      <c r="BV456" s="133">
        <f t="shared" si="4627"/>
        <v>-913.90500085525218</v>
      </c>
      <c r="BW456" s="133">
        <f t="shared" si="4627"/>
        <v>-1209.0550008552523</v>
      </c>
      <c r="BX456" s="133">
        <f t="shared" si="4654"/>
        <v>-1468.2400008552522</v>
      </c>
      <c r="BY456" s="133">
        <f t="shared" si="4654"/>
        <v>-1727.4250008552522</v>
      </c>
      <c r="BZ456" s="133">
        <f t="shared" si="4654"/>
        <v>-1986.6100008552521</v>
      </c>
      <c r="CA456" s="133">
        <f t="shared" si="4654"/>
        <v>-2245.7950008552521</v>
      </c>
      <c r="CB456" s="133">
        <f t="shared" si="4654"/>
        <v>-2504.980000855252</v>
      </c>
      <c r="CC456" s="133">
        <f t="shared" si="4654"/>
        <v>-2764.1650008552519</v>
      </c>
      <c r="CD456" s="133">
        <f t="shared" si="4654"/>
        <v>-3023.3500008552519</v>
      </c>
      <c r="CE456" s="133">
        <f t="shared" si="4654"/>
        <v>-3282.5350008552518</v>
      </c>
      <c r="CF456" s="133">
        <f t="shared" si="4654"/>
        <v>-3541.7200008552518</v>
      </c>
      <c r="CG456" s="133">
        <f t="shared" si="4654"/>
        <v>-3800.9050008552517</v>
      </c>
      <c r="CH456" s="133">
        <f t="shared" si="4654"/>
        <v>-4060.0900008552517</v>
      </c>
      <c r="CI456" s="133">
        <f t="shared" si="4654"/>
        <v>-4319.2750008552521</v>
      </c>
      <c r="CJ456" s="133">
        <f t="shared" si="4654"/>
        <v>-4578.4600008552525</v>
      </c>
      <c r="CK456" s="133">
        <f t="shared" si="4654"/>
        <v>-4837.6450008552529</v>
      </c>
      <c r="CL456" s="133">
        <f t="shared" si="4654"/>
        <v>-5096.8300008552533</v>
      </c>
      <c r="CM456" s="133">
        <f t="shared" si="4654"/>
        <v>-5356.0150008552537</v>
      </c>
      <c r="CN456" s="133">
        <f t="shared" si="4654"/>
        <v>-5615.2000008552541</v>
      </c>
      <c r="CO456" s="133">
        <f t="shared" si="4654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630"/>
        <v>0</v>
      </c>
      <c r="DB456" s="4">
        <f t="shared" si="4631"/>
        <v>0</v>
      </c>
      <c r="DC456" s="4">
        <f t="shared" si="4632"/>
        <v>0</v>
      </c>
      <c r="DD456" s="136">
        <f t="shared" si="4633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61">BK456*$FH456</f>
        <v>63823.950000000004</v>
      </c>
      <c r="EQ456" s="62">
        <f t="shared" si="4661"/>
        <v>91606.95</v>
      </c>
      <c r="ER456" s="62">
        <f t="shared" si="4661"/>
        <v>116202.6</v>
      </c>
      <c r="ES456" s="62">
        <f t="shared" si="4661"/>
        <v>121034.25000000001</v>
      </c>
      <c r="ET456" s="62">
        <f t="shared" si="4661"/>
        <v>117616.05</v>
      </c>
      <c r="EU456" s="62">
        <f t="shared" si="4661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48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 t="shared" si="4656"/>
        <v>0</v>
      </c>
      <c r="FS456" s="103" t="b">
        <f t="shared" si="4657"/>
        <v>1</v>
      </c>
      <c r="FT456" s="103" t="b">
        <f t="shared" si="4658"/>
        <v>1</v>
      </c>
      <c r="FU456" s="103" t="b">
        <f t="shared" si="4659"/>
        <v>0</v>
      </c>
      <c r="FV456" s="103" t="b">
        <f t="shared" si="4660"/>
        <v>1</v>
      </c>
      <c r="FW456" s="104" t="b">
        <f t="shared" ref="FW456:FW502" si="4662">EXACT(FP456,BG456)</f>
        <v>0</v>
      </c>
      <c r="FX456" s="120" t="b">
        <f t="shared" si="4649"/>
        <v>1</v>
      </c>
      <c r="FY456" s="104" t="s">
        <v>368</v>
      </c>
      <c r="FZ456" s="104" t="b">
        <f t="shared" si="4650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51"/>
        <v>1</v>
      </c>
      <c r="GI456" s="8" t="b">
        <f t="shared" si="4652"/>
        <v>0</v>
      </c>
      <c r="GJ456" s="31" t="s">
        <v>203</v>
      </c>
    </row>
    <row r="457" spans="1:192" ht="30" hidden="1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635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636"/>
        <v>0</v>
      </c>
      <c r="AF457" s="95">
        <f t="shared" si="4637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638"/>
        <v>1517.6471261417164</v>
      </c>
      <c r="AO457" s="130" t="str">
        <f t="shared" si="4639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640"/>
        <v>0-25 более 24</v>
      </c>
      <c r="AW457" s="149">
        <f t="shared" si="4641"/>
        <v>15438.29068479538</v>
      </c>
      <c r="AX457" s="144"/>
      <c r="AY457" s="146">
        <f t="shared" si="4642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43"/>
        <v>0</v>
      </c>
      <c r="BG457" s="32">
        <v>0</v>
      </c>
      <c r="BH457" s="32">
        <f t="shared" si="4644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45"/>
        <v>0.17</v>
      </c>
      <c r="BR457" s="95">
        <f t="shared" si="4646"/>
        <v>8.6000003814697266</v>
      </c>
      <c r="BS457" s="133">
        <f t="shared" si="4627"/>
        <v>8.6000003814697266</v>
      </c>
      <c r="BT457" s="133">
        <f t="shared" si="4627"/>
        <v>8.4300003814697266</v>
      </c>
      <c r="BU457" s="133">
        <f t="shared" si="4627"/>
        <v>8.4300003814697266</v>
      </c>
      <c r="BV457" s="133">
        <f t="shared" si="4627"/>
        <v>8.4300003814697266</v>
      </c>
      <c r="BW457" s="133">
        <f t="shared" si="4627"/>
        <v>8.4300003814697266</v>
      </c>
      <c r="BX457" s="133">
        <f t="shared" si="4654"/>
        <v>8.2600003814697267</v>
      </c>
      <c r="BY457" s="133">
        <f t="shared" si="4654"/>
        <v>8.0900003814697268</v>
      </c>
      <c r="BZ457" s="133">
        <f t="shared" si="4654"/>
        <v>7.9200003814697268</v>
      </c>
      <c r="CA457" s="133">
        <f t="shared" si="4654"/>
        <v>7.7500003814697269</v>
      </c>
      <c r="CB457" s="133">
        <f t="shared" si="4654"/>
        <v>7.580000381469727</v>
      </c>
      <c r="CC457" s="133">
        <f t="shared" si="4654"/>
        <v>7.4100003814697271</v>
      </c>
      <c r="CD457" s="133">
        <f t="shared" si="4654"/>
        <v>7.2400003814697271</v>
      </c>
      <c r="CE457" s="133">
        <f t="shared" si="4654"/>
        <v>7.0700003814697272</v>
      </c>
      <c r="CF457" s="133">
        <f t="shared" si="4654"/>
        <v>6.9000003814697273</v>
      </c>
      <c r="CG457" s="133">
        <f t="shared" si="4654"/>
        <v>6.7300003814697273</v>
      </c>
      <c r="CH457" s="133">
        <f t="shared" si="4654"/>
        <v>6.5600003814697274</v>
      </c>
      <c r="CI457" s="133">
        <f t="shared" si="4654"/>
        <v>6.3900003814697275</v>
      </c>
      <c r="CJ457" s="133">
        <f t="shared" si="4654"/>
        <v>6.2200003814697276</v>
      </c>
      <c r="CK457" s="133">
        <f t="shared" si="4654"/>
        <v>6.0500003814697276</v>
      </c>
      <c r="CL457" s="133">
        <f t="shared" si="4654"/>
        <v>5.8800003814697277</v>
      </c>
      <c r="CM457" s="133">
        <f t="shared" si="4654"/>
        <v>5.7100003814697278</v>
      </c>
      <c r="CN457" s="133">
        <f t="shared" si="4654"/>
        <v>5.5400003814697278</v>
      </c>
      <c r="CO457" s="133">
        <f t="shared" si="4654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630"/>
        <v>0</v>
      </c>
      <c r="DB457" s="4">
        <f t="shared" si="4631"/>
        <v>0</v>
      </c>
      <c r="DC457" s="4">
        <f t="shared" si="4632"/>
        <v>0</v>
      </c>
      <c r="DD457" s="136">
        <f t="shared" si="4633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48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 t="shared" si="4656"/>
        <v>0</v>
      </c>
      <c r="FS457" s="150" t="b">
        <f t="shared" si="4657"/>
        <v>0</v>
      </c>
      <c r="FT457" s="150" t="b">
        <f t="shared" si="4658"/>
        <v>0</v>
      </c>
      <c r="FU457" s="150" t="b">
        <f t="shared" si="4659"/>
        <v>0</v>
      </c>
      <c r="FV457" s="150" t="b">
        <f t="shared" si="4660"/>
        <v>1</v>
      </c>
      <c r="FW457" s="104" t="b">
        <f t="shared" si="4662"/>
        <v>0</v>
      </c>
      <c r="FX457" s="150" t="b">
        <f t="shared" si="4649"/>
        <v>1</v>
      </c>
      <c r="FY457" s="104" t="s">
        <v>368</v>
      </c>
      <c r="FZ457" s="104" t="b">
        <f t="shared" si="4650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51"/>
        <v>1</v>
      </c>
      <c r="GI457" s="151" t="b">
        <f t="shared" si="4652"/>
        <v>0</v>
      </c>
      <c r="GJ457" s="31" t="s">
        <v>203</v>
      </c>
    </row>
    <row r="458" spans="1:192" ht="60" hidden="1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635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636"/>
        <v>0</v>
      </c>
      <c r="AF458" s="95">
        <f t="shared" si="4637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638"/>
        <v>1517.6471261417164</v>
      </c>
      <c r="AO458" s="133" t="str">
        <f t="shared" si="4639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640"/>
        <v>0-25 более 24</v>
      </c>
      <c r="AW458" s="117">
        <f t="shared" si="4641"/>
        <v>15438.29068479538</v>
      </c>
      <c r="AX458" s="25">
        <f>MONTH(BC458)+6</f>
        <v>18</v>
      </c>
      <c r="AY458" s="25">
        <f t="shared" si="4642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43"/>
        <v>0</v>
      </c>
      <c r="BG458" s="32">
        <v>0</v>
      </c>
      <c r="BH458" s="32">
        <f t="shared" si="4644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45"/>
        <v>0.17</v>
      </c>
      <c r="BR458" s="95">
        <f t="shared" si="4646"/>
        <v>8.6000003814697266</v>
      </c>
      <c r="BS458" s="133">
        <f t="shared" si="4627"/>
        <v>8.6000003814697266</v>
      </c>
      <c r="BT458" s="133">
        <f t="shared" si="4627"/>
        <v>8.4300003814697266</v>
      </c>
      <c r="BU458" s="133">
        <f t="shared" si="4627"/>
        <v>8.4300003814697266</v>
      </c>
      <c r="BV458" s="133">
        <f t="shared" si="4627"/>
        <v>8.4300003814697266</v>
      </c>
      <c r="BW458" s="133">
        <f t="shared" si="4627"/>
        <v>8.4300003814697266</v>
      </c>
      <c r="BX458" s="133">
        <f t="shared" si="4654"/>
        <v>8.2600003814697267</v>
      </c>
      <c r="BY458" s="133">
        <f t="shared" si="4654"/>
        <v>8.0900003814697268</v>
      </c>
      <c r="BZ458" s="133">
        <f t="shared" si="4654"/>
        <v>7.9200003814697268</v>
      </c>
      <c r="CA458" s="133">
        <f t="shared" si="4654"/>
        <v>7.7500003814697269</v>
      </c>
      <c r="CB458" s="133">
        <f t="shared" si="4654"/>
        <v>7.580000381469727</v>
      </c>
      <c r="CC458" s="133">
        <f t="shared" si="4654"/>
        <v>7.4100003814697271</v>
      </c>
      <c r="CD458" s="133">
        <f t="shared" si="4654"/>
        <v>7.2400003814697271</v>
      </c>
      <c r="CE458" s="133">
        <f t="shared" si="4654"/>
        <v>7.0700003814697272</v>
      </c>
      <c r="CF458" s="133">
        <f t="shared" si="4654"/>
        <v>6.9000003814697273</v>
      </c>
      <c r="CG458" s="133">
        <f t="shared" si="4654"/>
        <v>6.7300003814697273</v>
      </c>
      <c r="CH458" s="133">
        <f t="shared" si="4654"/>
        <v>6.5600003814697274</v>
      </c>
      <c r="CI458" s="133">
        <f t="shared" si="4654"/>
        <v>6.3900003814697275</v>
      </c>
      <c r="CJ458" s="133">
        <f t="shared" si="4654"/>
        <v>6.2200003814697276</v>
      </c>
      <c r="CK458" s="133">
        <f t="shared" si="4654"/>
        <v>6.0500003814697276</v>
      </c>
      <c r="CL458" s="133">
        <f t="shared" si="4654"/>
        <v>5.8800003814697277</v>
      </c>
      <c r="CM458" s="133">
        <f t="shared" si="4654"/>
        <v>5.7100003814697278</v>
      </c>
      <c r="CN458" s="133">
        <f t="shared" si="4654"/>
        <v>5.5400003814697278</v>
      </c>
      <c r="CO458" s="133">
        <f t="shared" si="4654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630"/>
        <v>0</v>
      </c>
      <c r="DB458" s="4">
        <f t="shared" si="4631"/>
        <v>0</v>
      </c>
      <c r="DC458" s="4">
        <f t="shared" si="4632"/>
        <v>0</v>
      </c>
      <c r="DD458" s="136">
        <f t="shared" si="4633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63">BK458*$FH458</f>
        <v>0</v>
      </c>
      <c r="EQ458" s="62">
        <f t="shared" si="4663"/>
        <v>0</v>
      </c>
      <c r="ER458" s="62">
        <f t="shared" si="4663"/>
        <v>305.17550000000006</v>
      </c>
      <c r="ES458" s="62">
        <f t="shared" si="4663"/>
        <v>0</v>
      </c>
      <c r="ET458" s="62">
        <f t="shared" si="4663"/>
        <v>0</v>
      </c>
      <c r="EU458" s="62">
        <f t="shared" si="4663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48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 t="shared" si="4656"/>
        <v>1</v>
      </c>
      <c r="FS458" s="103" t="b">
        <f t="shared" si="4657"/>
        <v>1</v>
      </c>
      <c r="FT458" s="103" t="b">
        <f t="shared" si="4658"/>
        <v>1</v>
      </c>
      <c r="FU458" s="103" t="b">
        <f t="shared" si="4659"/>
        <v>0</v>
      </c>
      <c r="FV458" s="103" t="b">
        <f t="shared" si="4660"/>
        <v>1</v>
      </c>
      <c r="FW458" s="104" t="b">
        <f t="shared" si="4662"/>
        <v>0</v>
      </c>
      <c r="FX458" s="120" t="b">
        <f t="shared" si="4649"/>
        <v>1</v>
      </c>
      <c r="FY458" s="104" t="s">
        <v>368</v>
      </c>
      <c r="FZ458" s="104" t="b">
        <f t="shared" si="4650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51"/>
        <v>1</v>
      </c>
      <c r="GI458" s="8" t="b">
        <f t="shared" si="4652"/>
        <v>0</v>
      </c>
      <c r="GJ458" s="31" t="s">
        <v>203</v>
      </c>
    </row>
    <row r="459" spans="1:192" hidden="1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635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636"/>
        <v>0</v>
      </c>
      <c r="AF459" s="95">
        <f t="shared" si="4637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638"/>
        <v>60.900924682617188</v>
      </c>
      <c r="AO459" s="130" t="str">
        <f t="shared" si="4639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640"/>
        <v>нет остатка</v>
      </c>
      <c r="AW459" s="149">
        <f t="shared" si="4641"/>
        <v>0</v>
      </c>
      <c r="AX459" s="144"/>
      <c r="AY459" s="146">
        <f t="shared" si="4642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43"/>
        <v>0</v>
      </c>
      <c r="BG459" s="32">
        <v>0</v>
      </c>
      <c r="BH459" s="32">
        <f t="shared" si="4644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45"/>
        <v>2.7083333333333335</v>
      </c>
      <c r="BR459" s="95">
        <f t="shared" si="4646"/>
        <v>-1.49</v>
      </c>
      <c r="BS459" s="133">
        <f t="shared" ref="BS459:BW466" si="4664">BR459-BL459</f>
        <v>-3.96</v>
      </c>
      <c r="BT459" s="133">
        <f t="shared" si="4664"/>
        <v>-7.2</v>
      </c>
      <c r="BU459" s="133">
        <f t="shared" si="4664"/>
        <v>-10.9</v>
      </c>
      <c r="BV459" s="133">
        <f t="shared" si="4664"/>
        <v>-13.97</v>
      </c>
      <c r="BW459" s="133">
        <f t="shared" si="4664"/>
        <v>-16.25</v>
      </c>
      <c r="BX459" s="133">
        <f t="shared" ref="BX459:CO462" si="4665">BW459-$BQ459</f>
        <v>-18.958333333333332</v>
      </c>
      <c r="BY459" s="133">
        <f t="shared" si="4665"/>
        <v>-21.666666666666664</v>
      </c>
      <c r="BZ459" s="133">
        <f t="shared" si="4665"/>
        <v>-24.374999999999996</v>
      </c>
      <c r="CA459" s="133">
        <f t="shared" si="4665"/>
        <v>-27.083333333333329</v>
      </c>
      <c r="CB459" s="133">
        <f t="shared" si="4665"/>
        <v>-29.791666666666661</v>
      </c>
      <c r="CC459" s="133">
        <f t="shared" si="4665"/>
        <v>-32.499999999999993</v>
      </c>
      <c r="CD459" s="133">
        <f t="shared" si="4665"/>
        <v>-35.208333333333329</v>
      </c>
      <c r="CE459" s="133">
        <f t="shared" si="4665"/>
        <v>-37.916666666666664</v>
      </c>
      <c r="CF459" s="133">
        <f t="shared" si="4665"/>
        <v>-40.625</v>
      </c>
      <c r="CG459" s="133">
        <f t="shared" si="4665"/>
        <v>-43.333333333333336</v>
      </c>
      <c r="CH459" s="133">
        <f t="shared" si="4665"/>
        <v>-46.041666666666671</v>
      </c>
      <c r="CI459" s="133">
        <f t="shared" si="4665"/>
        <v>-48.750000000000007</v>
      </c>
      <c r="CJ459" s="133">
        <f t="shared" si="4665"/>
        <v>-51.458333333333343</v>
      </c>
      <c r="CK459" s="133">
        <f t="shared" si="4665"/>
        <v>-54.166666666666679</v>
      </c>
      <c r="CL459" s="133">
        <f t="shared" si="4665"/>
        <v>-56.875000000000014</v>
      </c>
      <c r="CM459" s="133">
        <f t="shared" si="4665"/>
        <v>-59.58333333333335</v>
      </c>
      <c r="CN459" s="133">
        <f t="shared" si="4665"/>
        <v>-62.291666666666686</v>
      </c>
      <c r="CO459" s="133">
        <f t="shared" si="4665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66">IFERROR(CZ459/CY459,0)</f>
        <v>0</v>
      </c>
      <c r="DB459" s="4">
        <f t="shared" ref="DB459:DB462" si="4667">CY459*FH459</f>
        <v>0</v>
      </c>
      <c r="DC459" s="4">
        <f t="shared" ref="DC459:DC462" si="4668">CZ459*FH459</f>
        <v>0</v>
      </c>
      <c r="DD459" s="136">
        <f t="shared" ref="DD459:DD462" si="4669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70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 t="shared" si="4656"/>
        <v>0</v>
      </c>
      <c r="FS459" s="150" t="b">
        <f t="shared" si="4657"/>
        <v>0</v>
      </c>
      <c r="FT459" s="150" t="b">
        <f t="shared" si="4658"/>
        <v>0</v>
      </c>
      <c r="FU459" s="150" t="b">
        <f t="shared" si="4659"/>
        <v>0</v>
      </c>
      <c r="FV459" s="150" t="b">
        <f t="shared" si="4660"/>
        <v>1</v>
      </c>
      <c r="FW459" s="104" t="b">
        <f t="shared" si="4662"/>
        <v>0</v>
      </c>
      <c r="FX459" s="150" t="b">
        <f t="shared" si="4649"/>
        <v>1</v>
      </c>
      <c r="FY459" s="104" t="s">
        <v>368</v>
      </c>
      <c r="FZ459" s="104" t="b">
        <f t="shared" si="4650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51"/>
        <v>1</v>
      </c>
      <c r="GI459" s="151" t="b">
        <f t="shared" si="4652"/>
        <v>0</v>
      </c>
      <c r="GJ459" s="31" t="s">
        <v>203</v>
      </c>
    </row>
    <row r="460" spans="1:192" ht="75" hidden="1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635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636"/>
        <v>0</v>
      </c>
      <c r="AF460" s="95">
        <f t="shared" si="4637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638"/>
        <v>60.900924682617188</v>
      </c>
      <c r="AO460" s="133" t="str">
        <f t="shared" si="4639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640"/>
        <v>нет остатка</v>
      </c>
      <c r="AW460" s="117">
        <f t="shared" si="4641"/>
        <v>0</v>
      </c>
      <c r="AX460" s="14"/>
      <c r="AY460" s="25">
        <f t="shared" si="4642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43"/>
        <v>0</v>
      </c>
      <c r="BG460" s="32">
        <v>0</v>
      </c>
      <c r="BH460" s="32">
        <f t="shared" si="4644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45"/>
        <v>2.7083333333333335</v>
      </c>
      <c r="BR460" s="95">
        <f t="shared" si="4646"/>
        <v>-1.49</v>
      </c>
      <c r="BS460" s="133">
        <f t="shared" si="4664"/>
        <v>-3.96</v>
      </c>
      <c r="BT460" s="133">
        <f t="shared" si="4664"/>
        <v>-7.2</v>
      </c>
      <c r="BU460" s="133">
        <f t="shared" si="4664"/>
        <v>-10.9</v>
      </c>
      <c r="BV460" s="133">
        <f t="shared" si="4664"/>
        <v>-13.97</v>
      </c>
      <c r="BW460" s="133">
        <f t="shared" si="4664"/>
        <v>-16.25</v>
      </c>
      <c r="BX460" s="133">
        <f t="shared" si="4665"/>
        <v>-18.958333333333332</v>
      </c>
      <c r="BY460" s="133">
        <f t="shared" si="4665"/>
        <v>-21.666666666666664</v>
      </c>
      <c r="BZ460" s="133">
        <f t="shared" si="4665"/>
        <v>-24.374999999999996</v>
      </c>
      <c r="CA460" s="133">
        <f t="shared" si="4665"/>
        <v>-27.083333333333329</v>
      </c>
      <c r="CB460" s="133">
        <f t="shared" si="4665"/>
        <v>-29.791666666666661</v>
      </c>
      <c r="CC460" s="133">
        <f t="shared" si="4665"/>
        <v>-32.499999999999993</v>
      </c>
      <c r="CD460" s="133">
        <f t="shared" si="4665"/>
        <v>-35.208333333333329</v>
      </c>
      <c r="CE460" s="133">
        <f t="shared" si="4665"/>
        <v>-37.916666666666664</v>
      </c>
      <c r="CF460" s="133">
        <f t="shared" si="4665"/>
        <v>-40.625</v>
      </c>
      <c r="CG460" s="133">
        <f t="shared" si="4665"/>
        <v>-43.333333333333336</v>
      </c>
      <c r="CH460" s="133">
        <f t="shared" si="4665"/>
        <v>-46.041666666666671</v>
      </c>
      <c r="CI460" s="133">
        <f t="shared" si="4665"/>
        <v>-48.750000000000007</v>
      </c>
      <c r="CJ460" s="133">
        <f t="shared" si="4665"/>
        <v>-51.458333333333343</v>
      </c>
      <c r="CK460" s="133">
        <f t="shared" si="4665"/>
        <v>-54.166666666666679</v>
      </c>
      <c r="CL460" s="133">
        <f t="shared" si="4665"/>
        <v>-56.875000000000014</v>
      </c>
      <c r="CM460" s="133">
        <f t="shared" si="4665"/>
        <v>-59.58333333333335</v>
      </c>
      <c r="CN460" s="133">
        <f t="shared" si="4665"/>
        <v>-62.291666666666686</v>
      </c>
      <c r="CO460" s="133">
        <f t="shared" si="4665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66"/>
        <v>0</v>
      </c>
      <c r="DB460" s="4">
        <f t="shared" si="4667"/>
        <v>0</v>
      </c>
      <c r="DC460" s="4">
        <f t="shared" si="4668"/>
        <v>0</v>
      </c>
      <c r="DD460" s="136">
        <f t="shared" si="4669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71">BK460*$FH460</f>
        <v>720.44479999999999</v>
      </c>
      <c r="EQ460" s="62">
        <f t="shared" si="4671"/>
        <v>1194.2944</v>
      </c>
      <c r="ER460" s="62">
        <f t="shared" si="4671"/>
        <v>1566.6048000000001</v>
      </c>
      <c r="ES460" s="62">
        <f t="shared" si="4671"/>
        <v>1789.0240000000001</v>
      </c>
      <c r="ET460" s="62">
        <f t="shared" si="4671"/>
        <v>1484.4063999999998</v>
      </c>
      <c r="EU460" s="62">
        <f t="shared" si="4671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70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 t="shared" si="4656"/>
        <v>1</v>
      </c>
      <c r="FS460" s="103" t="b">
        <f t="shared" si="4657"/>
        <v>1</v>
      </c>
      <c r="FT460" s="103" t="b">
        <f t="shared" si="4658"/>
        <v>0</v>
      </c>
      <c r="FU460" s="103" t="b">
        <f t="shared" si="4659"/>
        <v>0</v>
      </c>
      <c r="FV460" s="103" t="b">
        <f t="shared" si="4660"/>
        <v>1</v>
      </c>
      <c r="FW460" s="104" t="b">
        <f t="shared" si="4662"/>
        <v>0</v>
      </c>
      <c r="FX460" s="120" t="b">
        <f t="shared" si="4649"/>
        <v>1</v>
      </c>
      <c r="FY460" s="104" t="s">
        <v>368</v>
      </c>
      <c r="FZ460" s="104" t="b">
        <f t="shared" si="4650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51"/>
        <v>1</v>
      </c>
      <c r="GI460" s="8" t="b">
        <f t="shared" si="4652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635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636"/>
        <v>0</v>
      </c>
      <c r="AF461" s="95">
        <f t="shared" si="4637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638"/>
        <v>нет оборота</v>
      </c>
      <c r="AO461" s="130" t="str">
        <f t="shared" si="4639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640"/>
        <v>нет остатка</v>
      </c>
      <c r="AW461" s="149">
        <f t="shared" si="4641"/>
        <v>0</v>
      </c>
      <c r="AX461" s="144"/>
      <c r="AY461" s="146">
        <f t="shared" si="4642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43"/>
        <v>0</v>
      </c>
      <c r="BG461" s="32">
        <v>0</v>
      </c>
      <c r="BH461" s="32">
        <f t="shared" si="4644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45"/>
        <v>0</v>
      </c>
      <c r="BR461" s="95">
        <f t="shared" si="4646"/>
        <v>0</v>
      </c>
      <c r="BS461" s="133">
        <f t="shared" si="4664"/>
        <v>0</v>
      </c>
      <c r="BT461" s="133">
        <f t="shared" si="4664"/>
        <v>0</v>
      </c>
      <c r="BU461" s="133">
        <f t="shared" si="4664"/>
        <v>0</v>
      </c>
      <c r="BV461" s="133">
        <f t="shared" si="4664"/>
        <v>0</v>
      </c>
      <c r="BW461" s="133">
        <f t="shared" si="4664"/>
        <v>0</v>
      </c>
      <c r="BX461" s="133">
        <f t="shared" si="4665"/>
        <v>0</v>
      </c>
      <c r="BY461" s="133">
        <f t="shared" si="4665"/>
        <v>0</v>
      </c>
      <c r="BZ461" s="133">
        <f t="shared" si="4665"/>
        <v>0</v>
      </c>
      <c r="CA461" s="133">
        <f t="shared" si="4665"/>
        <v>0</v>
      </c>
      <c r="CB461" s="133">
        <f t="shared" si="4665"/>
        <v>0</v>
      </c>
      <c r="CC461" s="133">
        <f t="shared" si="4665"/>
        <v>0</v>
      </c>
      <c r="CD461" s="133">
        <f t="shared" si="4665"/>
        <v>0</v>
      </c>
      <c r="CE461" s="133">
        <f t="shared" si="4665"/>
        <v>0</v>
      </c>
      <c r="CF461" s="133">
        <f t="shared" si="4665"/>
        <v>0</v>
      </c>
      <c r="CG461" s="133">
        <f t="shared" si="4665"/>
        <v>0</v>
      </c>
      <c r="CH461" s="133">
        <f t="shared" si="4665"/>
        <v>0</v>
      </c>
      <c r="CI461" s="133">
        <f t="shared" si="4665"/>
        <v>0</v>
      </c>
      <c r="CJ461" s="133">
        <f t="shared" si="4665"/>
        <v>0</v>
      </c>
      <c r="CK461" s="133">
        <f t="shared" si="4665"/>
        <v>0</v>
      </c>
      <c r="CL461" s="133">
        <f t="shared" si="4665"/>
        <v>0</v>
      </c>
      <c r="CM461" s="133">
        <f t="shared" si="4665"/>
        <v>0</v>
      </c>
      <c r="CN461" s="133">
        <f t="shared" si="4665"/>
        <v>0</v>
      </c>
      <c r="CO461" s="133">
        <f t="shared" si="4665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66"/>
        <v>0</v>
      </c>
      <c r="DB461" s="4">
        <f t="shared" si="4667"/>
        <v>0</v>
      </c>
      <c r="DC461" s="4">
        <f t="shared" si="4668"/>
        <v>0</v>
      </c>
      <c r="DD461" s="136">
        <f t="shared" si="4669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70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 t="shared" si="4656"/>
        <v>0</v>
      </c>
      <c r="FS461" s="150" t="b">
        <f t="shared" si="4657"/>
        <v>0</v>
      </c>
      <c r="FT461" s="150" t="b">
        <f t="shared" si="4658"/>
        <v>0</v>
      </c>
      <c r="FU461" s="150" t="b">
        <f t="shared" si="4659"/>
        <v>0</v>
      </c>
      <c r="FV461" s="150" t="b">
        <f t="shared" si="4660"/>
        <v>1</v>
      </c>
      <c r="FW461" s="104" t="b">
        <f t="shared" si="4662"/>
        <v>0</v>
      </c>
      <c r="FX461" s="150" t="b">
        <f t="shared" si="4649"/>
        <v>1</v>
      </c>
      <c r="FY461" s="104" t="s">
        <v>491</v>
      </c>
      <c r="FZ461" s="104" t="b">
        <f t="shared" si="4650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51"/>
        <v>1</v>
      </c>
      <c r="GI461" s="151" t="b">
        <f t="shared" si="4652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635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636"/>
        <v>0</v>
      </c>
      <c r="AF462" s="95">
        <f t="shared" si="4637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638"/>
        <v>нет оборота</v>
      </c>
      <c r="AO462" s="133" t="str">
        <f t="shared" si="4639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640"/>
        <v>нет остатка</v>
      </c>
      <c r="AW462" s="117">
        <f t="shared" si="4641"/>
        <v>0</v>
      </c>
      <c r="AX462" s="14"/>
      <c r="AY462" s="25">
        <f t="shared" si="4642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43"/>
        <v>0</v>
      </c>
      <c r="BG462" s="32">
        <v>0</v>
      </c>
      <c r="BH462" s="32">
        <f t="shared" si="4644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45"/>
        <v>0</v>
      </c>
      <c r="BR462" s="95">
        <f t="shared" si="4646"/>
        <v>0</v>
      </c>
      <c r="BS462" s="133">
        <f t="shared" si="4664"/>
        <v>0</v>
      </c>
      <c r="BT462" s="133">
        <f t="shared" si="4664"/>
        <v>0</v>
      </c>
      <c r="BU462" s="133">
        <f t="shared" si="4664"/>
        <v>0</v>
      </c>
      <c r="BV462" s="133">
        <f t="shared" si="4664"/>
        <v>0</v>
      </c>
      <c r="BW462" s="133">
        <f t="shared" si="4664"/>
        <v>0</v>
      </c>
      <c r="BX462" s="133">
        <f t="shared" si="4665"/>
        <v>0</v>
      </c>
      <c r="BY462" s="133">
        <f t="shared" si="4665"/>
        <v>0</v>
      </c>
      <c r="BZ462" s="133">
        <f t="shared" si="4665"/>
        <v>0</v>
      </c>
      <c r="CA462" s="133">
        <f t="shared" ref="CA462:CO462" si="4672">BZ462-$BQ462</f>
        <v>0</v>
      </c>
      <c r="CB462" s="133">
        <f t="shared" si="4672"/>
        <v>0</v>
      </c>
      <c r="CC462" s="133">
        <f t="shared" si="4672"/>
        <v>0</v>
      </c>
      <c r="CD462" s="133">
        <f t="shared" si="4672"/>
        <v>0</v>
      </c>
      <c r="CE462" s="133">
        <f t="shared" si="4672"/>
        <v>0</v>
      </c>
      <c r="CF462" s="133">
        <f t="shared" si="4672"/>
        <v>0</v>
      </c>
      <c r="CG462" s="133">
        <f t="shared" si="4672"/>
        <v>0</v>
      </c>
      <c r="CH462" s="133">
        <f t="shared" si="4672"/>
        <v>0</v>
      </c>
      <c r="CI462" s="133">
        <f t="shared" si="4672"/>
        <v>0</v>
      </c>
      <c r="CJ462" s="133">
        <f t="shared" si="4672"/>
        <v>0</v>
      </c>
      <c r="CK462" s="133">
        <f t="shared" si="4672"/>
        <v>0</v>
      </c>
      <c r="CL462" s="133">
        <f t="shared" si="4672"/>
        <v>0</v>
      </c>
      <c r="CM462" s="133">
        <f t="shared" si="4672"/>
        <v>0</v>
      </c>
      <c r="CN462" s="133">
        <f t="shared" si="4672"/>
        <v>0</v>
      </c>
      <c r="CO462" s="133">
        <f t="shared" si="4672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66"/>
        <v>0</v>
      </c>
      <c r="DB462" s="4">
        <f t="shared" si="4667"/>
        <v>0</v>
      </c>
      <c r="DC462" s="4">
        <f t="shared" si="4668"/>
        <v>0</v>
      </c>
      <c r="DD462" s="136">
        <f t="shared" si="4669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73">BK462*$FH462</f>
        <v>0</v>
      </c>
      <c r="EQ462" s="62">
        <f t="shared" si="4673"/>
        <v>0</v>
      </c>
      <c r="ER462" s="62">
        <f t="shared" si="4673"/>
        <v>0</v>
      </c>
      <c r="ES462" s="62">
        <f t="shared" si="4673"/>
        <v>0</v>
      </c>
      <c r="ET462" s="62">
        <f t="shared" si="4673"/>
        <v>0</v>
      </c>
      <c r="EU462" s="62">
        <f t="shared" si="4673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70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 t="shared" si="4656"/>
        <v>1</v>
      </c>
      <c r="FS462" s="103" t="b">
        <f t="shared" si="4657"/>
        <v>1</v>
      </c>
      <c r="FT462" s="103" t="b">
        <f t="shared" si="4658"/>
        <v>1</v>
      </c>
      <c r="FU462" s="103" t="b">
        <f t="shared" si="4659"/>
        <v>1</v>
      </c>
      <c r="FV462" s="103" t="b">
        <f t="shared" si="4660"/>
        <v>1</v>
      </c>
      <c r="FW462" s="104" t="b">
        <f t="shared" si="4662"/>
        <v>0</v>
      </c>
      <c r="FX462" s="120" t="b">
        <f t="shared" si="4649"/>
        <v>1</v>
      </c>
      <c r="FY462" s="104" t="s">
        <v>491</v>
      </c>
      <c r="FZ462" s="104" t="b">
        <f t="shared" si="4650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51"/>
        <v>1</v>
      </c>
      <c r="GI462" s="8" t="b">
        <f t="shared" si="4652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635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636"/>
        <v>0</v>
      </c>
      <c r="AF463" s="95">
        <f t="shared" si="4637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638"/>
        <v>нет оборота</v>
      </c>
      <c r="AO463" s="130" t="str">
        <f t="shared" si="4639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640"/>
        <v>нет остатка</v>
      </c>
      <c r="AW463" s="149">
        <f t="shared" si="4641"/>
        <v>0</v>
      </c>
      <c r="AX463" s="144"/>
      <c r="AY463" s="146">
        <f t="shared" si="4642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43"/>
        <v>0</v>
      </c>
      <c r="BG463" s="32">
        <v>0</v>
      </c>
      <c r="BH463" s="32">
        <f t="shared" si="4644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45"/>
        <v>0</v>
      </c>
      <c r="BR463" s="95">
        <f t="shared" si="4646"/>
        <v>0</v>
      </c>
      <c r="BS463" s="133">
        <f t="shared" si="4664"/>
        <v>0</v>
      </c>
      <c r="BT463" s="133">
        <f t="shared" si="4664"/>
        <v>0</v>
      </c>
      <c r="BU463" s="133">
        <f t="shared" si="4664"/>
        <v>0</v>
      </c>
      <c r="BV463" s="133">
        <f t="shared" si="4664"/>
        <v>0</v>
      </c>
      <c r="BW463" s="133">
        <f t="shared" si="4664"/>
        <v>0</v>
      </c>
      <c r="BX463" s="133">
        <f t="shared" ref="BX463:CO466" si="4674">BW463-$BQ463</f>
        <v>0</v>
      </c>
      <c r="BY463" s="133">
        <f t="shared" si="4674"/>
        <v>0</v>
      </c>
      <c r="BZ463" s="133">
        <f t="shared" si="4674"/>
        <v>0</v>
      </c>
      <c r="CA463" s="133">
        <f t="shared" si="4674"/>
        <v>0</v>
      </c>
      <c r="CB463" s="133">
        <f t="shared" si="4674"/>
        <v>0</v>
      </c>
      <c r="CC463" s="133">
        <f t="shared" si="4674"/>
        <v>0</v>
      </c>
      <c r="CD463" s="133">
        <f t="shared" si="4674"/>
        <v>0</v>
      </c>
      <c r="CE463" s="133">
        <f t="shared" si="4674"/>
        <v>0</v>
      </c>
      <c r="CF463" s="133">
        <f t="shared" si="4674"/>
        <v>0</v>
      </c>
      <c r="CG463" s="133">
        <f t="shared" si="4674"/>
        <v>0</v>
      </c>
      <c r="CH463" s="133">
        <f t="shared" si="4674"/>
        <v>0</v>
      </c>
      <c r="CI463" s="133">
        <f t="shared" si="4674"/>
        <v>0</v>
      </c>
      <c r="CJ463" s="133">
        <f t="shared" si="4674"/>
        <v>0</v>
      </c>
      <c r="CK463" s="133">
        <f t="shared" si="4674"/>
        <v>0</v>
      </c>
      <c r="CL463" s="133">
        <f t="shared" si="4674"/>
        <v>0</v>
      </c>
      <c r="CM463" s="133">
        <f t="shared" si="4674"/>
        <v>0</v>
      </c>
      <c r="CN463" s="133">
        <f t="shared" si="4674"/>
        <v>0</v>
      </c>
      <c r="CO463" s="133">
        <f t="shared" si="4674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75">IFERROR(CZ463/CY463,0)</f>
        <v>0</v>
      </c>
      <c r="DB463" s="4">
        <f t="shared" ref="DB463:DB480" si="4676">CY463*FH463</f>
        <v>0</v>
      </c>
      <c r="DC463" s="4">
        <f t="shared" ref="DC463:DC480" si="4677">CZ463*FH463</f>
        <v>0</v>
      </c>
      <c r="DD463" s="136">
        <f t="shared" ref="DD463:DD480" si="4678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79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 t="shared" si="4656"/>
        <v>0</v>
      </c>
      <c r="FS463" s="150" t="b">
        <f t="shared" si="4657"/>
        <v>0</v>
      </c>
      <c r="FT463" s="150" t="b">
        <f t="shared" si="4658"/>
        <v>0</v>
      </c>
      <c r="FU463" s="150" t="b">
        <f t="shared" si="4659"/>
        <v>0</v>
      </c>
      <c r="FV463" s="150" t="b">
        <f t="shared" si="4660"/>
        <v>1</v>
      </c>
      <c r="FW463" s="104" t="b">
        <f t="shared" si="4662"/>
        <v>0</v>
      </c>
      <c r="FX463" s="150" t="b">
        <f t="shared" si="4649"/>
        <v>1</v>
      </c>
      <c r="FY463" s="104" t="s">
        <v>491</v>
      </c>
      <c r="FZ463" s="104" t="b">
        <f t="shared" si="4650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51"/>
        <v>1</v>
      </c>
      <c r="GI463" s="151" t="b">
        <f t="shared" si="4652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635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636"/>
        <v>0</v>
      </c>
      <c r="AF464" s="95">
        <f t="shared" si="4637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638"/>
        <v>нет оборота</v>
      </c>
      <c r="AO464" s="133" t="str">
        <f t="shared" si="4639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640"/>
        <v>нет остатка</v>
      </c>
      <c r="AW464" s="117">
        <f t="shared" si="4641"/>
        <v>0</v>
      </c>
      <c r="AX464" s="14"/>
      <c r="AY464" s="25">
        <f t="shared" si="4642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43"/>
        <v>0</v>
      </c>
      <c r="BG464" s="32">
        <v>0</v>
      </c>
      <c r="BH464" s="32">
        <f t="shared" si="4644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45"/>
        <v>0</v>
      </c>
      <c r="BR464" s="95">
        <f t="shared" si="4646"/>
        <v>0</v>
      </c>
      <c r="BS464" s="133">
        <f t="shared" si="4664"/>
        <v>0</v>
      </c>
      <c r="BT464" s="133">
        <f t="shared" si="4664"/>
        <v>0</v>
      </c>
      <c r="BU464" s="133">
        <f t="shared" si="4664"/>
        <v>0</v>
      </c>
      <c r="BV464" s="133">
        <f t="shared" si="4664"/>
        <v>0</v>
      </c>
      <c r="BW464" s="133">
        <f t="shared" si="4664"/>
        <v>0</v>
      </c>
      <c r="BX464" s="133">
        <f t="shared" si="4674"/>
        <v>0</v>
      </c>
      <c r="BY464" s="133">
        <f t="shared" si="4674"/>
        <v>0</v>
      </c>
      <c r="BZ464" s="133">
        <f t="shared" si="4674"/>
        <v>0</v>
      </c>
      <c r="CA464" s="133">
        <f t="shared" si="4674"/>
        <v>0</v>
      </c>
      <c r="CB464" s="133">
        <f t="shared" si="4674"/>
        <v>0</v>
      </c>
      <c r="CC464" s="133">
        <f t="shared" si="4674"/>
        <v>0</v>
      </c>
      <c r="CD464" s="133">
        <f t="shared" si="4674"/>
        <v>0</v>
      </c>
      <c r="CE464" s="133">
        <f t="shared" si="4674"/>
        <v>0</v>
      </c>
      <c r="CF464" s="133">
        <f t="shared" si="4674"/>
        <v>0</v>
      </c>
      <c r="CG464" s="133">
        <f t="shared" si="4674"/>
        <v>0</v>
      </c>
      <c r="CH464" s="133">
        <f t="shared" si="4674"/>
        <v>0</v>
      </c>
      <c r="CI464" s="133">
        <f t="shared" si="4674"/>
        <v>0</v>
      </c>
      <c r="CJ464" s="133">
        <f t="shared" si="4674"/>
        <v>0</v>
      </c>
      <c r="CK464" s="133">
        <f t="shared" si="4674"/>
        <v>0</v>
      </c>
      <c r="CL464" s="133">
        <f t="shared" si="4674"/>
        <v>0</v>
      </c>
      <c r="CM464" s="133">
        <f t="shared" si="4674"/>
        <v>0</v>
      </c>
      <c r="CN464" s="133">
        <f t="shared" si="4674"/>
        <v>0</v>
      </c>
      <c r="CO464" s="133">
        <f t="shared" si="4674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75"/>
        <v>0</v>
      </c>
      <c r="DB464" s="4">
        <f t="shared" si="4676"/>
        <v>0</v>
      </c>
      <c r="DC464" s="4">
        <f t="shared" si="4677"/>
        <v>0</v>
      </c>
      <c r="DD464" s="136">
        <f t="shared" si="4678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80">BK464*$FH464</f>
        <v>0</v>
      </c>
      <c r="EQ464" s="62">
        <f t="shared" si="4680"/>
        <v>0</v>
      </c>
      <c r="ER464" s="62">
        <f t="shared" si="4680"/>
        <v>0</v>
      </c>
      <c r="ES464" s="62">
        <f t="shared" si="4680"/>
        <v>0</v>
      </c>
      <c r="ET464" s="62">
        <f t="shared" si="4680"/>
        <v>0</v>
      </c>
      <c r="EU464" s="62">
        <f t="shared" si="4680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79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 t="shared" si="4656"/>
        <v>1</v>
      </c>
      <c r="FS464" s="103" t="b">
        <f t="shared" si="4657"/>
        <v>1</v>
      </c>
      <c r="FT464" s="103" t="b">
        <f t="shared" si="4658"/>
        <v>1</v>
      </c>
      <c r="FU464" s="103" t="b">
        <f t="shared" si="4659"/>
        <v>1</v>
      </c>
      <c r="FV464" s="103" t="b">
        <f t="shared" si="4660"/>
        <v>1</v>
      </c>
      <c r="FW464" s="104" t="b">
        <f t="shared" si="4662"/>
        <v>0</v>
      </c>
      <c r="FX464" s="120" t="b">
        <f t="shared" si="4649"/>
        <v>1</v>
      </c>
      <c r="FY464" s="104" t="s">
        <v>491</v>
      </c>
      <c r="FZ464" s="104" t="b">
        <f t="shared" si="4650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51"/>
        <v>1</v>
      </c>
      <c r="GI464" s="8" t="b">
        <f t="shared" si="4652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81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82">AA465*FH465</f>
        <v>0</v>
      </c>
      <c r="AF465" s="95">
        <f t="shared" ref="AF465:AF480" si="4683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84">IFERROR(S465/BQ465*30,"нет оборота")</f>
        <v>нет оборота</v>
      </c>
      <c r="AO465" s="130" t="str">
        <f t="shared" ref="AO465:AO480" si="4685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86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87">IF(AT465="Да",W465,0)</f>
        <v>0</v>
      </c>
      <c r="AX465" s="144"/>
      <c r="AY465" s="146">
        <f t="shared" ref="AY465:AY480" si="4688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89">BE465*FH465</f>
        <v>0</v>
      </c>
      <c r="BG465" s="32">
        <v>0</v>
      </c>
      <c r="BH465" s="32">
        <f t="shared" ref="BH465:BH480" si="4690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91">IF(COUNTIF(BK465:BP465,"&gt;0")=0,0,SUM(BK465:BP465)/COUNTIF(BK465:BP465,"&gt;0"))</f>
        <v>0</v>
      </c>
      <c r="BR465" s="95">
        <f t="shared" ref="BR465:BR480" si="4692">IF(OR(Q465=0,SUM(BK465:BP465)=0,V465&gt;Q465),V465-BK465,Q465-BK465)</f>
        <v>0</v>
      </c>
      <c r="BS465" s="133">
        <f t="shared" si="4664"/>
        <v>0</v>
      </c>
      <c r="BT465" s="133">
        <f t="shared" si="4664"/>
        <v>0</v>
      </c>
      <c r="BU465" s="133">
        <f t="shared" si="4664"/>
        <v>0</v>
      </c>
      <c r="BV465" s="133">
        <f t="shared" si="4664"/>
        <v>0</v>
      </c>
      <c r="BW465" s="133">
        <f t="shared" si="4664"/>
        <v>0</v>
      </c>
      <c r="BX465" s="133">
        <f t="shared" si="4674"/>
        <v>0</v>
      </c>
      <c r="BY465" s="133">
        <f t="shared" si="4674"/>
        <v>0</v>
      </c>
      <c r="BZ465" s="133">
        <f t="shared" si="4674"/>
        <v>0</v>
      </c>
      <c r="CA465" s="133">
        <f t="shared" si="4674"/>
        <v>0</v>
      </c>
      <c r="CB465" s="133">
        <f t="shared" si="4674"/>
        <v>0</v>
      </c>
      <c r="CC465" s="133">
        <f t="shared" si="4674"/>
        <v>0</v>
      </c>
      <c r="CD465" s="133">
        <f t="shared" si="4674"/>
        <v>0</v>
      </c>
      <c r="CE465" s="133">
        <f t="shared" si="4674"/>
        <v>0</v>
      </c>
      <c r="CF465" s="133">
        <f t="shared" si="4674"/>
        <v>0</v>
      </c>
      <c r="CG465" s="133">
        <f t="shared" si="4674"/>
        <v>0</v>
      </c>
      <c r="CH465" s="133">
        <f t="shared" si="4674"/>
        <v>0</v>
      </c>
      <c r="CI465" s="133">
        <f t="shared" si="4674"/>
        <v>0</v>
      </c>
      <c r="CJ465" s="133">
        <f t="shared" si="4674"/>
        <v>0</v>
      </c>
      <c r="CK465" s="133">
        <f t="shared" si="4674"/>
        <v>0</v>
      </c>
      <c r="CL465" s="133">
        <f t="shared" si="4674"/>
        <v>0</v>
      </c>
      <c r="CM465" s="133">
        <f t="shared" si="4674"/>
        <v>0</v>
      </c>
      <c r="CN465" s="133">
        <f t="shared" si="4674"/>
        <v>0</v>
      </c>
      <c r="CO465" s="133">
        <f t="shared" si="4674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75"/>
        <v>0</v>
      </c>
      <c r="DB465" s="4">
        <f t="shared" si="4676"/>
        <v>0</v>
      </c>
      <c r="DC465" s="4">
        <f t="shared" si="4677"/>
        <v>0</v>
      </c>
      <c r="DD465" s="136">
        <f t="shared" si="4678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79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 t="shared" si="4656"/>
        <v>0</v>
      </c>
      <c r="FS465" s="150" t="b">
        <f t="shared" si="4657"/>
        <v>0</v>
      </c>
      <c r="FT465" s="150" t="b">
        <f t="shared" si="4658"/>
        <v>0</v>
      </c>
      <c r="FU465" s="150" t="b">
        <f t="shared" si="4659"/>
        <v>0</v>
      </c>
      <c r="FV465" s="150" t="b">
        <f t="shared" si="4660"/>
        <v>1</v>
      </c>
      <c r="FW465" s="104" t="b">
        <f t="shared" si="4662"/>
        <v>0</v>
      </c>
      <c r="FX465" s="150" t="b">
        <f t="shared" ref="FX465:FX480" si="4693">EXACT(FQ465,BI465)</f>
        <v>1</v>
      </c>
      <c r="FY465" s="104" t="s">
        <v>491</v>
      </c>
      <c r="FZ465" s="104" t="b">
        <f t="shared" ref="FZ465:FZ480" si="4694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95">EXACT(GD465,C465)</f>
        <v>1</v>
      </c>
      <c r="GI465" s="151" t="b">
        <f t="shared" ref="GI465:GI480" si="4696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81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82"/>
        <v>0</v>
      </c>
      <c r="AF466" s="95">
        <f t="shared" si="4683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84"/>
        <v>нет оборота</v>
      </c>
      <c r="AO466" s="133" t="str">
        <f t="shared" si="4685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86"/>
        <v>нет остатка</v>
      </c>
      <c r="AW466" s="117">
        <f t="shared" si="4687"/>
        <v>0</v>
      </c>
      <c r="AX466" s="14"/>
      <c r="AY466" s="25">
        <f t="shared" si="4688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89"/>
        <v>0</v>
      </c>
      <c r="BG466" s="32">
        <v>0</v>
      </c>
      <c r="BH466" s="32">
        <f t="shared" si="4690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91"/>
        <v>0</v>
      </c>
      <c r="BR466" s="95">
        <f t="shared" si="4692"/>
        <v>0</v>
      </c>
      <c r="BS466" s="133">
        <f t="shared" si="4664"/>
        <v>0</v>
      </c>
      <c r="BT466" s="133">
        <f t="shared" si="4664"/>
        <v>0</v>
      </c>
      <c r="BU466" s="133">
        <f t="shared" si="4664"/>
        <v>0</v>
      </c>
      <c r="BV466" s="133">
        <f t="shared" si="4664"/>
        <v>0</v>
      </c>
      <c r="BW466" s="133">
        <f t="shared" si="4664"/>
        <v>0</v>
      </c>
      <c r="BX466" s="133">
        <f t="shared" si="4674"/>
        <v>0</v>
      </c>
      <c r="BY466" s="133">
        <f t="shared" si="4674"/>
        <v>0</v>
      </c>
      <c r="BZ466" s="133">
        <f t="shared" si="4674"/>
        <v>0</v>
      </c>
      <c r="CA466" s="133">
        <f t="shared" si="4674"/>
        <v>0</v>
      </c>
      <c r="CB466" s="133">
        <f t="shared" si="4674"/>
        <v>0</v>
      </c>
      <c r="CC466" s="133">
        <f t="shared" si="4674"/>
        <v>0</v>
      </c>
      <c r="CD466" s="133">
        <f t="shared" si="4674"/>
        <v>0</v>
      </c>
      <c r="CE466" s="133">
        <f t="shared" si="4674"/>
        <v>0</v>
      </c>
      <c r="CF466" s="133">
        <f t="shared" si="4674"/>
        <v>0</v>
      </c>
      <c r="CG466" s="133">
        <f t="shared" si="4674"/>
        <v>0</v>
      </c>
      <c r="CH466" s="133">
        <f t="shared" si="4674"/>
        <v>0</v>
      </c>
      <c r="CI466" s="133">
        <f t="shared" si="4674"/>
        <v>0</v>
      </c>
      <c r="CJ466" s="133">
        <f t="shared" si="4674"/>
        <v>0</v>
      </c>
      <c r="CK466" s="133">
        <f t="shared" si="4674"/>
        <v>0</v>
      </c>
      <c r="CL466" s="133">
        <f t="shared" si="4674"/>
        <v>0</v>
      </c>
      <c r="CM466" s="133">
        <f t="shared" si="4674"/>
        <v>0</v>
      </c>
      <c r="CN466" s="133">
        <f t="shared" si="4674"/>
        <v>0</v>
      </c>
      <c r="CO466" s="133">
        <f t="shared" si="4674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75"/>
        <v>0</v>
      </c>
      <c r="DB466" s="4">
        <f t="shared" si="4676"/>
        <v>0</v>
      </c>
      <c r="DC466" s="4">
        <f t="shared" si="4677"/>
        <v>0</v>
      </c>
      <c r="DD466" s="136">
        <f t="shared" si="4678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97">BK466*$FH466</f>
        <v>0</v>
      </c>
      <c r="EQ466" s="62">
        <f t="shared" si="4697"/>
        <v>0</v>
      </c>
      <c r="ER466" s="62">
        <f t="shared" si="4697"/>
        <v>0</v>
      </c>
      <c r="ES466" s="62">
        <f t="shared" si="4697"/>
        <v>0</v>
      </c>
      <c r="ET466" s="62">
        <f t="shared" si="4697"/>
        <v>0</v>
      </c>
      <c r="EU466" s="62">
        <f t="shared" si="4697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79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 t="shared" si="4656"/>
        <v>1</v>
      </c>
      <c r="FS466" s="103" t="b">
        <f t="shared" si="4657"/>
        <v>1</v>
      </c>
      <c r="FT466" s="103" t="b">
        <f t="shared" si="4658"/>
        <v>1</v>
      </c>
      <c r="FU466" s="103" t="b">
        <f t="shared" si="4659"/>
        <v>1</v>
      </c>
      <c r="FV466" s="103" t="b">
        <f t="shared" si="4660"/>
        <v>1</v>
      </c>
      <c r="FW466" s="104" t="b">
        <f t="shared" si="4662"/>
        <v>0</v>
      </c>
      <c r="FX466" s="120" t="b">
        <f t="shared" si="4693"/>
        <v>1</v>
      </c>
      <c r="FY466" s="104" t="s">
        <v>491</v>
      </c>
      <c r="FZ466" s="104" t="b">
        <f t="shared" si="4694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95"/>
        <v>1</v>
      </c>
      <c r="GI466" s="8" t="b">
        <f t="shared" si="4696"/>
        <v>0</v>
      </c>
      <c r="GJ466" s="31" t="s">
        <v>203</v>
      </c>
    </row>
    <row r="467" spans="1:192" hidden="1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81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82"/>
        <v>0</v>
      </c>
      <c r="AF467" s="95">
        <f t="shared" si="4683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84"/>
        <v>67.269440800975502</v>
      </c>
      <c r="AO467" s="130" t="str">
        <f t="shared" si="4685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86"/>
        <v>0-07</v>
      </c>
      <c r="AW467" s="149">
        <f t="shared" si="4687"/>
        <v>15035.868308372497</v>
      </c>
      <c r="AX467" s="144"/>
      <c r="AY467" s="146">
        <f t="shared" si="4688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89"/>
        <v>0</v>
      </c>
      <c r="BG467" s="32">
        <v>0</v>
      </c>
      <c r="BH467" s="32">
        <f t="shared" si="4690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91"/>
        <v>8.2949999999999999</v>
      </c>
      <c r="BR467" s="95">
        <f t="shared" si="4692"/>
        <v>18.600000381469727</v>
      </c>
      <c r="BS467" s="133">
        <f t="shared" ref="BS467:BW480" si="4698">BR467-BL467</f>
        <v>5.9700003814697258</v>
      </c>
      <c r="BT467" s="133">
        <f t="shared" si="4698"/>
        <v>5.9700003814697258</v>
      </c>
      <c r="BU467" s="133">
        <f t="shared" si="4698"/>
        <v>5.9700003814697258</v>
      </c>
      <c r="BV467" s="133">
        <f t="shared" si="4698"/>
        <v>5.9700003814697258</v>
      </c>
      <c r="BW467" s="133">
        <f t="shared" si="4698"/>
        <v>2.0100003814697258</v>
      </c>
      <c r="BX467" s="133">
        <f t="shared" ref="BX467:CO469" si="4699">BW467-$BQ467</f>
        <v>-6.2849996185302741</v>
      </c>
      <c r="BY467" s="133">
        <f t="shared" si="4699"/>
        <v>-14.579999618530273</v>
      </c>
      <c r="BZ467" s="133">
        <f t="shared" si="4699"/>
        <v>-22.874999618530275</v>
      </c>
      <c r="CA467" s="133">
        <f t="shared" si="4699"/>
        <v>-31.169999618530277</v>
      </c>
      <c r="CB467" s="133">
        <f t="shared" si="4699"/>
        <v>-39.464999618530278</v>
      </c>
      <c r="CC467" s="133">
        <f t="shared" si="4699"/>
        <v>-47.75999961853028</v>
      </c>
      <c r="CD467" s="133">
        <f t="shared" si="4699"/>
        <v>-56.054999618530282</v>
      </c>
      <c r="CE467" s="133">
        <f t="shared" si="4699"/>
        <v>-64.349999618530276</v>
      </c>
      <c r="CF467" s="133">
        <f t="shared" si="4699"/>
        <v>-72.644999618530278</v>
      </c>
      <c r="CG467" s="133">
        <f t="shared" si="4699"/>
        <v>-80.93999961853028</v>
      </c>
      <c r="CH467" s="133">
        <f t="shared" si="4699"/>
        <v>-89.234999618530281</v>
      </c>
      <c r="CI467" s="133">
        <f t="shared" si="4699"/>
        <v>-97.529999618530283</v>
      </c>
      <c r="CJ467" s="133">
        <f t="shared" si="4699"/>
        <v>-105.82499961853028</v>
      </c>
      <c r="CK467" s="133">
        <f t="shared" si="4699"/>
        <v>-114.11999961853029</v>
      </c>
      <c r="CL467" s="133">
        <f t="shared" si="4699"/>
        <v>-122.41499961853029</v>
      </c>
      <c r="CM467" s="133">
        <f t="shared" si="4699"/>
        <v>-130.70999961853028</v>
      </c>
      <c r="CN467" s="133">
        <f t="shared" si="4699"/>
        <v>-139.00499961853026</v>
      </c>
      <c r="CO467" s="133">
        <f t="shared" si="4699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75"/>
        <v>0</v>
      </c>
      <c r="DB467" s="4">
        <f t="shared" si="4676"/>
        <v>0</v>
      </c>
      <c r="DC467" s="4">
        <f t="shared" si="4677"/>
        <v>0</v>
      </c>
      <c r="DD467" s="136">
        <f t="shared" si="4678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79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 t="shared" si="4656"/>
        <v>0</v>
      </c>
      <c r="FS467" s="150" t="b">
        <f t="shared" si="4657"/>
        <v>0</v>
      </c>
      <c r="FT467" s="150" t="b">
        <f t="shared" si="4658"/>
        <v>0</v>
      </c>
      <c r="FU467" s="150" t="b">
        <f t="shared" si="4659"/>
        <v>0</v>
      </c>
      <c r="FV467" s="150" t="b">
        <f t="shared" si="4660"/>
        <v>1</v>
      </c>
      <c r="FW467" s="104" t="b">
        <f t="shared" si="4662"/>
        <v>0</v>
      </c>
      <c r="FX467" s="150" t="b">
        <f t="shared" si="4693"/>
        <v>1</v>
      </c>
      <c r="FY467" s="104" t="s">
        <v>368</v>
      </c>
      <c r="FZ467" s="104" t="b">
        <f t="shared" si="4694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95"/>
        <v>1</v>
      </c>
      <c r="GI467" s="151" t="b">
        <f t="shared" si="4696"/>
        <v>0</v>
      </c>
      <c r="GJ467" s="31" t="s">
        <v>203</v>
      </c>
    </row>
    <row r="468" spans="1:192" ht="60" hidden="1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81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82"/>
        <v>0</v>
      </c>
      <c r="AF468" s="95">
        <f t="shared" si="4683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84"/>
        <v>67.269440800975502</v>
      </c>
      <c r="AO468" s="133" t="str">
        <f t="shared" si="4685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86"/>
        <v>0-07</v>
      </c>
      <c r="AW468" s="117">
        <f t="shared" si="4687"/>
        <v>15035.868308372497</v>
      </c>
      <c r="AX468" s="14"/>
      <c r="AY468" s="25">
        <f t="shared" si="4688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89"/>
        <v>0</v>
      </c>
      <c r="BG468" s="32">
        <v>0</v>
      </c>
      <c r="BH468" s="32">
        <f t="shared" si="4690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91"/>
        <v>8.2949999999999999</v>
      </c>
      <c r="BR468" s="95">
        <f t="shared" si="4692"/>
        <v>18.600000381469727</v>
      </c>
      <c r="BS468" s="133">
        <f t="shared" si="4698"/>
        <v>5.9700003814697258</v>
      </c>
      <c r="BT468" s="133">
        <f t="shared" si="4698"/>
        <v>5.9700003814697258</v>
      </c>
      <c r="BU468" s="133">
        <f t="shared" si="4698"/>
        <v>5.9700003814697258</v>
      </c>
      <c r="BV468" s="133">
        <f t="shared" si="4698"/>
        <v>5.9700003814697258</v>
      </c>
      <c r="BW468" s="133">
        <f t="shared" si="4698"/>
        <v>2.0100003814697258</v>
      </c>
      <c r="BX468" s="133">
        <f t="shared" si="4699"/>
        <v>-6.2849996185302741</v>
      </c>
      <c r="BY468" s="133">
        <f t="shared" si="4699"/>
        <v>-14.579999618530273</v>
      </c>
      <c r="BZ468" s="133">
        <f t="shared" si="4699"/>
        <v>-22.874999618530275</v>
      </c>
      <c r="CA468" s="133">
        <f t="shared" si="4699"/>
        <v>-31.169999618530277</v>
      </c>
      <c r="CB468" s="133">
        <f t="shared" si="4699"/>
        <v>-39.464999618530278</v>
      </c>
      <c r="CC468" s="133">
        <f t="shared" si="4699"/>
        <v>-47.75999961853028</v>
      </c>
      <c r="CD468" s="133">
        <f t="shared" si="4699"/>
        <v>-56.054999618530282</v>
      </c>
      <c r="CE468" s="133">
        <f t="shared" si="4699"/>
        <v>-64.349999618530276</v>
      </c>
      <c r="CF468" s="133">
        <f t="shared" si="4699"/>
        <v>-72.644999618530278</v>
      </c>
      <c r="CG468" s="133">
        <f t="shared" si="4699"/>
        <v>-80.93999961853028</v>
      </c>
      <c r="CH468" s="133">
        <f t="shared" si="4699"/>
        <v>-89.234999618530281</v>
      </c>
      <c r="CI468" s="133">
        <f t="shared" si="4699"/>
        <v>-97.529999618530283</v>
      </c>
      <c r="CJ468" s="133">
        <f t="shared" si="4699"/>
        <v>-105.82499961853028</v>
      </c>
      <c r="CK468" s="133">
        <f t="shared" si="4699"/>
        <v>-114.11999961853029</v>
      </c>
      <c r="CL468" s="133">
        <f t="shared" si="4699"/>
        <v>-122.41499961853029</v>
      </c>
      <c r="CM468" s="133">
        <f t="shared" si="4699"/>
        <v>-130.70999961853028</v>
      </c>
      <c r="CN468" s="133">
        <f t="shared" si="4699"/>
        <v>-139.00499961853026</v>
      </c>
      <c r="CO468" s="133">
        <f t="shared" si="4699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75"/>
        <v>0</v>
      </c>
      <c r="DB468" s="4">
        <f t="shared" si="4676"/>
        <v>0</v>
      </c>
      <c r="DC468" s="4">
        <f t="shared" si="4677"/>
        <v>0</v>
      </c>
      <c r="DD468" s="136">
        <f t="shared" si="4678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700">BK468*$FH468</f>
        <v>0</v>
      </c>
      <c r="EQ468" s="62">
        <f t="shared" si="4700"/>
        <v>10209.839400000001</v>
      </c>
      <c r="ER468" s="62">
        <f t="shared" si="4700"/>
        <v>0</v>
      </c>
      <c r="ES468" s="62">
        <f t="shared" si="4700"/>
        <v>0</v>
      </c>
      <c r="ET468" s="62">
        <f t="shared" si="4700"/>
        <v>0</v>
      </c>
      <c r="EU468" s="62">
        <f t="shared" si="4700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79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 t="shared" si="4656"/>
        <v>1</v>
      </c>
      <c r="FS468" s="103" t="b">
        <f t="shared" si="4657"/>
        <v>1</v>
      </c>
      <c r="FT468" s="103" t="b">
        <f t="shared" si="4658"/>
        <v>0</v>
      </c>
      <c r="FU468" s="103" t="b">
        <f t="shared" si="4659"/>
        <v>0</v>
      </c>
      <c r="FV468" s="103" t="b">
        <f t="shared" si="4660"/>
        <v>1</v>
      </c>
      <c r="FW468" s="104" t="b">
        <f t="shared" si="4662"/>
        <v>0</v>
      </c>
      <c r="FX468" s="120" t="b">
        <f t="shared" si="4693"/>
        <v>1</v>
      </c>
      <c r="FY468" s="104" t="s">
        <v>368</v>
      </c>
      <c r="FZ468" s="104" t="b">
        <f t="shared" si="4694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95"/>
        <v>1</v>
      </c>
      <c r="GI468" s="8" t="b">
        <f t="shared" si="4696"/>
        <v>0</v>
      </c>
      <c r="GJ468" s="31" t="s">
        <v>203</v>
      </c>
    </row>
    <row r="469" spans="1:192" hidden="1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81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82"/>
        <v>0</v>
      </c>
      <c r="AF469" s="95">
        <f t="shared" si="4683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84"/>
        <v>0</v>
      </c>
      <c r="AO469" s="130" t="str">
        <f t="shared" si="4685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86"/>
        <v>нет остатка</v>
      </c>
      <c r="AW469" s="149">
        <f t="shared" si="4687"/>
        <v>0</v>
      </c>
      <c r="AX469" s="144"/>
      <c r="AY469" s="146">
        <f t="shared" si="4688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89"/>
        <v>0</v>
      </c>
      <c r="BG469" s="32">
        <v>0</v>
      </c>
      <c r="BH469" s="32">
        <f t="shared" si="4690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91"/>
        <v>39.695</v>
      </c>
      <c r="BR469" s="95">
        <f t="shared" si="4692"/>
        <v>-2.16</v>
      </c>
      <c r="BS469" s="133">
        <f t="shared" si="4698"/>
        <v>-37.33</v>
      </c>
      <c r="BT469" s="133">
        <f t="shared" si="4698"/>
        <v>-85.07</v>
      </c>
      <c r="BU469" s="133">
        <f t="shared" si="4698"/>
        <v>-134.85999999999999</v>
      </c>
      <c r="BV469" s="133">
        <f t="shared" si="4698"/>
        <v>-186.57</v>
      </c>
      <c r="BW469" s="133">
        <f t="shared" si="4698"/>
        <v>-238.17</v>
      </c>
      <c r="BX469" s="133">
        <f t="shared" si="4699"/>
        <v>-277.86500000000001</v>
      </c>
      <c r="BY469" s="133">
        <f t="shared" si="4699"/>
        <v>-317.56</v>
      </c>
      <c r="BZ469" s="133">
        <f t="shared" si="4699"/>
        <v>-357.255</v>
      </c>
      <c r="CA469" s="133">
        <f t="shared" ref="CA469:CO469" si="4701">BZ469-$BQ469</f>
        <v>-396.95</v>
      </c>
      <c r="CB469" s="133">
        <f t="shared" si="4701"/>
        <v>-436.64499999999998</v>
      </c>
      <c r="CC469" s="133">
        <f t="shared" si="4701"/>
        <v>-476.34</v>
      </c>
      <c r="CD469" s="133">
        <f t="shared" si="4701"/>
        <v>-516.03499999999997</v>
      </c>
      <c r="CE469" s="133">
        <f t="shared" si="4701"/>
        <v>-555.73</v>
      </c>
      <c r="CF469" s="133">
        <f t="shared" si="4701"/>
        <v>-595.42500000000007</v>
      </c>
      <c r="CG469" s="133">
        <f t="shared" si="4701"/>
        <v>-635.12000000000012</v>
      </c>
      <c r="CH469" s="133">
        <f t="shared" si="4701"/>
        <v>-674.81500000000017</v>
      </c>
      <c r="CI469" s="133">
        <f t="shared" si="4701"/>
        <v>-714.51000000000022</v>
      </c>
      <c r="CJ469" s="133">
        <f t="shared" si="4701"/>
        <v>-754.20500000000027</v>
      </c>
      <c r="CK469" s="133">
        <f t="shared" si="4701"/>
        <v>-793.90000000000032</v>
      </c>
      <c r="CL469" s="133">
        <f t="shared" si="4701"/>
        <v>-833.59500000000037</v>
      </c>
      <c r="CM469" s="133">
        <f t="shared" si="4701"/>
        <v>-873.29000000000042</v>
      </c>
      <c r="CN469" s="133">
        <f t="shared" si="4701"/>
        <v>-912.98500000000047</v>
      </c>
      <c r="CO469" s="133">
        <f t="shared" si="4701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75"/>
        <v>0</v>
      </c>
      <c r="DB469" s="4">
        <f t="shared" si="4676"/>
        <v>0</v>
      </c>
      <c r="DC469" s="4">
        <f t="shared" si="4677"/>
        <v>0</v>
      </c>
      <c r="DD469" s="136">
        <f t="shared" si="4678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79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 t="shared" si="4656"/>
        <v>0</v>
      </c>
      <c r="FS469" s="150" t="b">
        <f t="shared" si="4657"/>
        <v>0</v>
      </c>
      <c r="FT469" s="150" t="b">
        <f t="shared" si="4658"/>
        <v>0</v>
      </c>
      <c r="FU469" s="150" t="b">
        <f t="shared" si="4659"/>
        <v>0</v>
      </c>
      <c r="FV469" s="150" t="b">
        <f t="shared" si="4660"/>
        <v>1</v>
      </c>
      <c r="FW469" s="104" t="b">
        <f t="shared" si="4662"/>
        <v>0</v>
      </c>
      <c r="FX469" s="150" t="b">
        <f t="shared" si="4693"/>
        <v>1</v>
      </c>
      <c r="FY469" s="104" t="s">
        <v>368</v>
      </c>
      <c r="FZ469" s="104" t="b">
        <f t="shared" si="4694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95"/>
        <v>1</v>
      </c>
      <c r="GI469" s="151" t="b">
        <f t="shared" si="4696"/>
        <v>0</v>
      </c>
      <c r="GJ469" s="31" t="s">
        <v>203</v>
      </c>
    </row>
    <row r="470" spans="1:192" ht="30" hidden="1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81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82"/>
        <v>0</v>
      </c>
      <c r="AF470" s="95">
        <f t="shared" si="4683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84"/>
        <v>0</v>
      </c>
      <c r="AO470" s="133" t="str">
        <f t="shared" si="4685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86"/>
        <v>нет остатка</v>
      </c>
      <c r="AW470" s="117">
        <f t="shared" si="4687"/>
        <v>0</v>
      </c>
      <c r="AX470" s="14"/>
      <c r="AY470" s="25">
        <f t="shared" si="4688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89"/>
        <v>0</v>
      </c>
      <c r="BG470" s="32">
        <v>0</v>
      </c>
      <c r="BH470" s="32">
        <f t="shared" si="4690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91"/>
        <v>39.695</v>
      </c>
      <c r="BR470" s="95">
        <f t="shared" si="4692"/>
        <v>-2.16</v>
      </c>
      <c r="BS470" s="133">
        <f t="shared" si="4698"/>
        <v>-37.33</v>
      </c>
      <c r="BT470" s="133">
        <f t="shared" si="4698"/>
        <v>-85.07</v>
      </c>
      <c r="BU470" s="133">
        <f t="shared" si="4698"/>
        <v>-134.85999999999999</v>
      </c>
      <c r="BV470" s="133">
        <f t="shared" si="4698"/>
        <v>-186.57</v>
      </c>
      <c r="BW470" s="133">
        <f t="shared" si="4698"/>
        <v>-238.17</v>
      </c>
      <c r="BX470" s="133">
        <f t="shared" ref="BX470:CO474" si="4702">BW470-$BQ470</f>
        <v>-277.86500000000001</v>
      </c>
      <c r="BY470" s="133">
        <f t="shared" si="4702"/>
        <v>-317.56</v>
      </c>
      <c r="BZ470" s="133">
        <f t="shared" si="4702"/>
        <v>-357.255</v>
      </c>
      <c r="CA470" s="133">
        <f t="shared" si="4702"/>
        <v>-396.95</v>
      </c>
      <c r="CB470" s="133">
        <f t="shared" si="4702"/>
        <v>-436.64499999999998</v>
      </c>
      <c r="CC470" s="133">
        <f t="shared" si="4702"/>
        <v>-476.34</v>
      </c>
      <c r="CD470" s="133">
        <f t="shared" si="4702"/>
        <v>-516.03499999999997</v>
      </c>
      <c r="CE470" s="133">
        <f t="shared" si="4702"/>
        <v>-555.73</v>
      </c>
      <c r="CF470" s="133">
        <f t="shared" si="4702"/>
        <v>-595.42500000000007</v>
      </c>
      <c r="CG470" s="133">
        <f t="shared" si="4702"/>
        <v>-635.12000000000012</v>
      </c>
      <c r="CH470" s="133">
        <f t="shared" si="4702"/>
        <v>-674.81500000000017</v>
      </c>
      <c r="CI470" s="133">
        <f t="shared" si="4702"/>
        <v>-714.51000000000022</v>
      </c>
      <c r="CJ470" s="133">
        <f t="shared" si="4702"/>
        <v>-754.20500000000027</v>
      </c>
      <c r="CK470" s="133">
        <f t="shared" si="4702"/>
        <v>-793.90000000000032</v>
      </c>
      <c r="CL470" s="133">
        <f t="shared" si="4702"/>
        <v>-833.59500000000037</v>
      </c>
      <c r="CM470" s="133">
        <f t="shared" si="4702"/>
        <v>-873.29000000000042</v>
      </c>
      <c r="CN470" s="133">
        <f t="shared" si="4702"/>
        <v>-912.98500000000047</v>
      </c>
      <c r="CO470" s="133">
        <f t="shared" si="4702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75"/>
        <v>0</v>
      </c>
      <c r="DB470" s="4">
        <f t="shared" si="4676"/>
        <v>0</v>
      </c>
      <c r="DC470" s="4">
        <f t="shared" si="4677"/>
        <v>0</v>
      </c>
      <c r="DD470" s="136">
        <f t="shared" si="4678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703">BK470*$FH470</f>
        <v>561.7944</v>
      </c>
      <c r="EQ470" s="62">
        <f t="shared" si="4703"/>
        <v>9147.3652999999995</v>
      </c>
      <c r="ER470" s="62">
        <f t="shared" si="4703"/>
        <v>12416.696599999999</v>
      </c>
      <c r="ES470" s="62">
        <f t="shared" si="4703"/>
        <v>12949.881099999999</v>
      </c>
      <c r="ET470" s="62">
        <f t="shared" si="4703"/>
        <v>13449.2539</v>
      </c>
      <c r="EU470" s="62">
        <f t="shared" si="4703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79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 t="shared" si="4656"/>
        <v>1</v>
      </c>
      <c r="FS470" s="103" t="b">
        <f t="shared" si="4657"/>
        <v>1</v>
      </c>
      <c r="FT470" s="103" t="b">
        <f t="shared" si="4658"/>
        <v>1</v>
      </c>
      <c r="FU470" s="103" t="b">
        <f t="shared" si="4659"/>
        <v>0</v>
      </c>
      <c r="FV470" s="103" t="b">
        <f t="shared" si="4660"/>
        <v>1</v>
      </c>
      <c r="FW470" s="104" t="b">
        <f t="shared" si="4662"/>
        <v>0</v>
      </c>
      <c r="FX470" s="120" t="b">
        <f t="shared" si="4693"/>
        <v>1</v>
      </c>
      <c r="FY470" s="104" t="s">
        <v>368</v>
      </c>
      <c r="FZ470" s="104" t="b">
        <f t="shared" si="4694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95"/>
        <v>1</v>
      </c>
      <c r="GI470" s="8" t="b">
        <f t="shared" si="4696"/>
        <v>0</v>
      </c>
      <c r="GJ470" s="31" t="s">
        <v>203</v>
      </c>
    </row>
    <row r="471" spans="1:192" hidden="1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81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82"/>
        <v>0</v>
      </c>
      <c r="AF471" s="95">
        <f t="shared" si="4683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84"/>
        <v>0</v>
      </c>
      <c r="AO471" s="130" t="str">
        <f t="shared" si="4685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86"/>
        <v>0-25 более 24</v>
      </c>
      <c r="AW471" s="149">
        <f t="shared" si="4687"/>
        <v>5485451.8297138205</v>
      </c>
      <c r="AX471" s="144"/>
      <c r="AY471" s="146">
        <f t="shared" si="4688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89"/>
        <v>0</v>
      </c>
      <c r="BG471" s="32">
        <v>0</v>
      </c>
      <c r="BH471" s="32">
        <f t="shared" si="4690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91"/>
        <v>279.28800000000001</v>
      </c>
      <c r="BR471" s="95">
        <f t="shared" si="4692"/>
        <v>42439.090087890625</v>
      </c>
      <c r="BS471" s="133">
        <f t="shared" si="4698"/>
        <v>42213.810087890626</v>
      </c>
      <c r="BT471" s="133">
        <f t="shared" si="4698"/>
        <v>41921.020087890625</v>
      </c>
      <c r="BU471" s="133">
        <f t="shared" si="4698"/>
        <v>41628.230087890624</v>
      </c>
      <c r="BV471" s="133">
        <f t="shared" si="4698"/>
        <v>41335.440087890624</v>
      </c>
      <c r="BW471" s="133">
        <f t="shared" si="4698"/>
        <v>41042.650087890623</v>
      </c>
      <c r="BX471" s="133">
        <f t="shared" si="4702"/>
        <v>40763.362087890622</v>
      </c>
      <c r="BY471" s="133">
        <f t="shared" si="4702"/>
        <v>40484.074087890622</v>
      </c>
      <c r="BZ471" s="133">
        <f t="shared" si="4702"/>
        <v>40204.786087890621</v>
      </c>
      <c r="CA471" s="133">
        <f t="shared" si="4702"/>
        <v>39925.498087890621</v>
      </c>
      <c r="CB471" s="133">
        <f t="shared" si="4702"/>
        <v>39646.21008789062</v>
      </c>
      <c r="CC471" s="133">
        <f t="shared" si="4702"/>
        <v>39366.92208789062</v>
      </c>
      <c r="CD471" s="133">
        <f t="shared" si="4702"/>
        <v>39087.634087890619</v>
      </c>
      <c r="CE471" s="133">
        <f t="shared" si="4702"/>
        <v>38808.346087890619</v>
      </c>
      <c r="CF471" s="133">
        <f t="shared" si="4702"/>
        <v>38529.058087890618</v>
      </c>
      <c r="CG471" s="133">
        <f t="shared" si="4702"/>
        <v>38249.770087890618</v>
      </c>
      <c r="CH471" s="133">
        <f t="shared" si="4702"/>
        <v>37970.482087890618</v>
      </c>
      <c r="CI471" s="133">
        <f t="shared" si="4702"/>
        <v>37691.194087890617</v>
      </c>
      <c r="CJ471" s="133">
        <f t="shared" si="4702"/>
        <v>37411.906087890617</v>
      </c>
      <c r="CK471" s="133">
        <f t="shared" si="4702"/>
        <v>37132.618087890616</v>
      </c>
      <c r="CL471" s="133">
        <f t="shared" si="4702"/>
        <v>36853.330087890616</v>
      </c>
      <c r="CM471" s="133">
        <f t="shared" si="4702"/>
        <v>36574.042087890615</v>
      </c>
      <c r="CN471" s="133">
        <f t="shared" si="4702"/>
        <v>36294.754087890615</v>
      </c>
      <c r="CO471" s="133">
        <f t="shared" si="4702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75"/>
        <v>0</v>
      </c>
      <c r="DB471" s="4">
        <f t="shared" si="4676"/>
        <v>0</v>
      </c>
      <c r="DC471" s="4">
        <f t="shared" si="4677"/>
        <v>0</v>
      </c>
      <c r="DD471" s="136">
        <f t="shared" si="4678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79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 t="shared" si="4656"/>
        <v>0</v>
      </c>
      <c r="FS471" s="150" t="b">
        <f t="shared" si="4657"/>
        <v>0</v>
      </c>
      <c r="FT471" s="150" t="b">
        <f t="shared" si="4658"/>
        <v>0</v>
      </c>
      <c r="FU471" s="150" t="b">
        <f t="shared" si="4659"/>
        <v>0</v>
      </c>
      <c r="FV471" s="150" t="b">
        <f t="shared" si="4660"/>
        <v>1</v>
      </c>
      <c r="FW471" s="104" t="b">
        <f t="shared" si="4662"/>
        <v>0</v>
      </c>
      <c r="FX471" s="150" t="b">
        <f t="shared" si="4693"/>
        <v>1</v>
      </c>
      <c r="FY471" s="104" t="s">
        <v>368</v>
      </c>
      <c r="FZ471" s="104" t="b">
        <f t="shared" si="4694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95"/>
        <v>1</v>
      </c>
      <c r="GI471" s="151" t="b">
        <f t="shared" si="4696"/>
        <v>0</v>
      </c>
      <c r="GJ471" s="31" t="s">
        <v>203</v>
      </c>
    </row>
    <row r="472" spans="1:192" ht="45" hidden="1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81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82"/>
        <v>0</v>
      </c>
      <c r="AF472" s="95">
        <f t="shared" si="4683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84"/>
        <v>0</v>
      </c>
      <c r="AO472" s="133" t="str">
        <f t="shared" si="4685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86"/>
        <v>0-25 более 24</v>
      </c>
      <c r="AW472" s="117">
        <f t="shared" si="4687"/>
        <v>5485451.8297138205</v>
      </c>
      <c r="AX472" s="14"/>
      <c r="AY472" s="25">
        <f t="shared" si="4688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89"/>
        <v>0</v>
      </c>
      <c r="BG472" s="32">
        <v>0</v>
      </c>
      <c r="BH472" s="32">
        <f t="shared" si="4690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91"/>
        <v>279.28800000000001</v>
      </c>
      <c r="BR472" s="95">
        <f t="shared" si="4692"/>
        <v>42439.090087890625</v>
      </c>
      <c r="BS472" s="133">
        <f t="shared" si="4698"/>
        <v>42213.810087890626</v>
      </c>
      <c r="BT472" s="133">
        <f t="shared" si="4698"/>
        <v>41921.020087890625</v>
      </c>
      <c r="BU472" s="133">
        <f t="shared" si="4698"/>
        <v>41628.230087890624</v>
      </c>
      <c r="BV472" s="133">
        <f t="shared" si="4698"/>
        <v>41335.440087890624</v>
      </c>
      <c r="BW472" s="133">
        <f t="shared" si="4698"/>
        <v>41042.650087890623</v>
      </c>
      <c r="BX472" s="133">
        <f t="shared" si="4702"/>
        <v>40763.362087890622</v>
      </c>
      <c r="BY472" s="133">
        <f t="shared" si="4702"/>
        <v>40484.074087890622</v>
      </c>
      <c r="BZ472" s="133">
        <f t="shared" si="4702"/>
        <v>40204.786087890621</v>
      </c>
      <c r="CA472" s="133">
        <f t="shared" si="4702"/>
        <v>39925.498087890621</v>
      </c>
      <c r="CB472" s="133">
        <f t="shared" si="4702"/>
        <v>39646.21008789062</v>
      </c>
      <c r="CC472" s="133">
        <f t="shared" si="4702"/>
        <v>39366.92208789062</v>
      </c>
      <c r="CD472" s="133">
        <f t="shared" si="4702"/>
        <v>39087.634087890619</v>
      </c>
      <c r="CE472" s="133">
        <f t="shared" si="4702"/>
        <v>38808.346087890619</v>
      </c>
      <c r="CF472" s="133">
        <f t="shared" si="4702"/>
        <v>38529.058087890618</v>
      </c>
      <c r="CG472" s="133">
        <f t="shared" si="4702"/>
        <v>38249.770087890618</v>
      </c>
      <c r="CH472" s="133">
        <f t="shared" si="4702"/>
        <v>37970.482087890618</v>
      </c>
      <c r="CI472" s="133">
        <f t="shared" si="4702"/>
        <v>37691.194087890617</v>
      </c>
      <c r="CJ472" s="133">
        <f t="shared" si="4702"/>
        <v>37411.906087890617</v>
      </c>
      <c r="CK472" s="133">
        <f t="shared" si="4702"/>
        <v>37132.618087890616</v>
      </c>
      <c r="CL472" s="133">
        <f t="shared" si="4702"/>
        <v>36853.330087890616</v>
      </c>
      <c r="CM472" s="133">
        <f t="shared" si="4702"/>
        <v>36574.042087890615</v>
      </c>
      <c r="CN472" s="133">
        <f t="shared" si="4702"/>
        <v>36294.754087890615</v>
      </c>
      <c r="CO472" s="133">
        <f t="shared" si="4702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75"/>
        <v>0</v>
      </c>
      <c r="DB472" s="4">
        <f t="shared" si="4676"/>
        <v>0</v>
      </c>
      <c r="DC472" s="4">
        <f t="shared" si="4677"/>
        <v>0</v>
      </c>
      <c r="DD472" s="136">
        <f t="shared" si="4678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704">BK472*$FH472</f>
        <v>0</v>
      </c>
      <c r="EQ472" s="62">
        <f t="shared" si="4704"/>
        <v>38502.604800000001</v>
      </c>
      <c r="ER472" s="62">
        <f t="shared" si="4704"/>
        <v>50040.738900000004</v>
      </c>
      <c r="ES472" s="62">
        <f t="shared" si="4704"/>
        <v>50040.738900000004</v>
      </c>
      <c r="ET472" s="62">
        <f t="shared" si="4704"/>
        <v>50040.738900000004</v>
      </c>
      <c r="EU472" s="62">
        <f t="shared" si="4704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79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 t="shared" si="4656"/>
        <v>1</v>
      </c>
      <c r="FS472" s="103" t="b">
        <f t="shared" si="4657"/>
        <v>1</v>
      </c>
      <c r="FT472" s="103" t="b">
        <f t="shared" si="4658"/>
        <v>1</v>
      </c>
      <c r="FU472" s="103" t="b">
        <f t="shared" si="4659"/>
        <v>1</v>
      </c>
      <c r="FV472" s="103" t="b">
        <f t="shared" si="4660"/>
        <v>1</v>
      </c>
      <c r="FW472" s="104" t="b">
        <f t="shared" si="4662"/>
        <v>0</v>
      </c>
      <c r="FX472" s="120" t="b">
        <f t="shared" si="4693"/>
        <v>1</v>
      </c>
      <c r="FY472" s="104" t="s">
        <v>368</v>
      </c>
      <c r="FZ472" s="104" t="b">
        <f t="shared" si="4694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95"/>
        <v>1</v>
      </c>
      <c r="GI472" s="8" t="b">
        <f t="shared" si="4696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81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82"/>
        <v>0</v>
      </c>
      <c r="AF473" s="95">
        <f t="shared" si="4683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84"/>
        <v>нет оборота</v>
      </c>
      <c r="AO473" s="130" t="str">
        <f t="shared" si="4685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86"/>
        <v>нет остатка</v>
      </c>
      <c r="AW473" s="149">
        <f t="shared" si="4687"/>
        <v>0</v>
      </c>
      <c r="AX473" s="144"/>
      <c r="AY473" s="146">
        <f t="shared" si="4688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89"/>
        <v>0</v>
      </c>
      <c r="BG473" s="32">
        <v>0</v>
      </c>
      <c r="BH473" s="32">
        <f t="shared" si="4690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91"/>
        <v>0</v>
      </c>
      <c r="BR473" s="95">
        <f t="shared" si="4692"/>
        <v>0</v>
      </c>
      <c r="BS473" s="133">
        <f t="shared" si="4698"/>
        <v>0</v>
      </c>
      <c r="BT473" s="133">
        <f t="shared" si="4698"/>
        <v>0</v>
      </c>
      <c r="BU473" s="133">
        <f t="shared" si="4698"/>
        <v>0</v>
      </c>
      <c r="BV473" s="133">
        <f t="shared" si="4698"/>
        <v>0</v>
      </c>
      <c r="BW473" s="133">
        <f t="shared" si="4698"/>
        <v>0</v>
      </c>
      <c r="BX473" s="133">
        <f t="shared" si="4702"/>
        <v>0</v>
      </c>
      <c r="BY473" s="133">
        <f t="shared" si="4702"/>
        <v>0</v>
      </c>
      <c r="BZ473" s="133">
        <f t="shared" si="4702"/>
        <v>0</v>
      </c>
      <c r="CA473" s="133">
        <f t="shared" si="4702"/>
        <v>0</v>
      </c>
      <c r="CB473" s="133">
        <f t="shared" si="4702"/>
        <v>0</v>
      </c>
      <c r="CC473" s="133">
        <f t="shared" si="4702"/>
        <v>0</v>
      </c>
      <c r="CD473" s="133">
        <f t="shared" si="4702"/>
        <v>0</v>
      </c>
      <c r="CE473" s="133">
        <f t="shared" si="4702"/>
        <v>0</v>
      </c>
      <c r="CF473" s="133">
        <f t="shared" si="4702"/>
        <v>0</v>
      </c>
      <c r="CG473" s="133">
        <f t="shared" si="4702"/>
        <v>0</v>
      </c>
      <c r="CH473" s="133">
        <f t="shared" si="4702"/>
        <v>0</v>
      </c>
      <c r="CI473" s="133">
        <f t="shared" si="4702"/>
        <v>0</v>
      </c>
      <c r="CJ473" s="133">
        <f t="shared" si="4702"/>
        <v>0</v>
      </c>
      <c r="CK473" s="133">
        <f t="shared" si="4702"/>
        <v>0</v>
      </c>
      <c r="CL473" s="133">
        <f t="shared" si="4702"/>
        <v>0</v>
      </c>
      <c r="CM473" s="133">
        <f t="shared" si="4702"/>
        <v>0</v>
      </c>
      <c r="CN473" s="133">
        <f t="shared" si="4702"/>
        <v>0</v>
      </c>
      <c r="CO473" s="133">
        <f t="shared" si="4702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75"/>
        <v>0</v>
      </c>
      <c r="DB473" s="4">
        <f t="shared" si="4676"/>
        <v>0</v>
      </c>
      <c r="DC473" s="4">
        <f t="shared" si="4677"/>
        <v>0</v>
      </c>
      <c r="DD473" s="136">
        <f t="shared" si="4678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79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 t="shared" si="4656"/>
        <v>0</v>
      </c>
      <c r="FS473" s="150" t="b">
        <f t="shared" si="4657"/>
        <v>0</v>
      </c>
      <c r="FT473" s="150" t="b">
        <f t="shared" si="4658"/>
        <v>0</v>
      </c>
      <c r="FU473" s="150" t="b">
        <f t="shared" si="4659"/>
        <v>0</v>
      </c>
      <c r="FV473" s="150" t="b">
        <f t="shared" si="4660"/>
        <v>1</v>
      </c>
      <c r="FW473" s="104" t="b">
        <f t="shared" si="4662"/>
        <v>0</v>
      </c>
      <c r="FX473" s="150" t="b">
        <f t="shared" si="4693"/>
        <v>1</v>
      </c>
      <c r="FY473" s="104" t="s">
        <v>491</v>
      </c>
      <c r="FZ473" s="104" t="b">
        <f t="shared" si="4694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95"/>
        <v>1</v>
      </c>
      <c r="GI473" s="151" t="b">
        <f t="shared" si="4696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81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82"/>
        <v>0</v>
      </c>
      <c r="AF474" s="95">
        <f t="shared" si="4683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84"/>
        <v>нет оборота</v>
      </c>
      <c r="AO474" s="133" t="str">
        <f t="shared" si="4685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86"/>
        <v>нет остатка</v>
      </c>
      <c r="AW474" s="117">
        <f t="shared" si="4687"/>
        <v>0</v>
      </c>
      <c r="AX474" s="14"/>
      <c r="AY474" s="25">
        <f t="shared" si="4688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89"/>
        <v>0</v>
      </c>
      <c r="BG474" s="32">
        <v>0</v>
      </c>
      <c r="BH474" s="32">
        <f t="shared" si="4690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91"/>
        <v>0</v>
      </c>
      <c r="BR474" s="95">
        <f t="shared" si="4692"/>
        <v>0</v>
      </c>
      <c r="BS474" s="133">
        <f t="shared" si="4698"/>
        <v>0</v>
      </c>
      <c r="BT474" s="133">
        <f t="shared" si="4698"/>
        <v>0</v>
      </c>
      <c r="BU474" s="133">
        <f t="shared" si="4698"/>
        <v>0</v>
      </c>
      <c r="BV474" s="133">
        <f t="shared" si="4698"/>
        <v>0</v>
      </c>
      <c r="BW474" s="133">
        <f t="shared" si="4698"/>
        <v>0</v>
      </c>
      <c r="BX474" s="133">
        <f t="shared" si="4702"/>
        <v>0</v>
      </c>
      <c r="BY474" s="133">
        <f t="shared" si="4702"/>
        <v>0</v>
      </c>
      <c r="BZ474" s="133">
        <f t="shared" si="4702"/>
        <v>0</v>
      </c>
      <c r="CA474" s="133">
        <f t="shared" ref="CA474:CO474" si="4705">BZ474-$BQ474</f>
        <v>0</v>
      </c>
      <c r="CB474" s="133">
        <f t="shared" si="4705"/>
        <v>0</v>
      </c>
      <c r="CC474" s="133">
        <f t="shared" si="4705"/>
        <v>0</v>
      </c>
      <c r="CD474" s="133">
        <f t="shared" si="4705"/>
        <v>0</v>
      </c>
      <c r="CE474" s="133">
        <f t="shared" si="4705"/>
        <v>0</v>
      </c>
      <c r="CF474" s="133">
        <f t="shared" si="4705"/>
        <v>0</v>
      </c>
      <c r="CG474" s="133">
        <f t="shared" si="4705"/>
        <v>0</v>
      </c>
      <c r="CH474" s="133">
        <f t="shared" si="4705"/>
        <v>0</v>
      </c>
      <c r="CI474" s="133">
        <f t="shared" si="4705"/>
        <v>0</v>
      </c>
      <c r="CJ474" s="133">
        <f t="shared" si="4705"/>
        <v>0</v>
      </c>
      <c r="CK474" s="133">
        <f t="shared" si="4705"/>
        <v>0</v>
      </c>
      <c r="CL474" s="133">
        <f t="shared" si="4705"/>
        <v>0</v>
      </c>
      <c r="CM474" s="133">
        <f t="shared" si="4705"/>
        <v>0</v>
      </c>
      <c r="CN474" s="133">
        <f t="shared" si="4705"/>
        <v>0</v>
      </c>
      <c r="CO474" s="133">
        <f t="shared" si="4705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75"/>
        <v>0</v>
      </c>
      <c r="DB474" s="4">
        <f t="shared" si="4676"/>
        <v>0</v>
      </c>
      <c r="DC474" s="4">
        <f t="shared" si="4677"/>
        <v>0</v>
      </c>
      <c r="DD474" s="136">
        <f t="shared" si="4678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706">BK474*$FH474</f>
        <v>0</v>
      </c>
      <c r="EQ474" s="62">
        <f t="shared" si="4706"/>
        <v>0</v>
      </c>
      <c r="ER474" s="62">
        <f t="shared" si="4706"/>
        <v>0</v>
      </c>
      <c r="ES474" s="62">
        <f t="shared" si="4706"/>
        <v>0</v>
      </c>
      <c r="ET474" s="62">
        <f t="shared" si="4706"/>
        <v>0</v>
      </c>
      <c r="EU474" s="62">
        <f t="shared" si="4706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79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 t="shared" si="4656"/>
        <v>1</v>
      </c>
      <c r="FS474" s="103" t="b">
        <f t="shared" si="4657"/>
        <v>1</v>
      </c>
      <c r="FT474" s="103" t="b">
        <f t="shared" si="4658"/>
        <v>1</v>
      </c>
      <c r="FU474" s="103" t="b">
        <f t="shared" si="4659"/>
        <v>1</v>
      </c>
      <c r="FV474" s="103" t="b">
        <f t="shared" si="4660"/>
        <v>1</v>
      </c>
      <c r="FW474" s="104" t="b">
        <f t="shared" si="4662"/>
        <v>0</v>
      </c>
      <c r="FX474" s="120" t="b">
        <f t="shared" si="4693"/>
        <v>1</v>
      </c>
      <c r="FY474" s="104" t="s">
        <v>491</v>
      </c>
      <c r="FZ474" s="104" t="b">
        <f t="shared" si="4694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95"/>
        <v>1</v>
      </c>
      <c r="GI474" s="8" t="b">
        <f t="shared" si="4696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81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82"/>
        <v>0</v>
      </c>
      <c r="AF475" s="95">
        <f t="shared" si="4683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84"/>
        <v>нет оборота</v>
      </c>
      <c r="AO475" s="130" t="str">
        <f t="shared" si="4685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86"/>
        <v>нет остатка</v>
      </c>
      <c r="AW475" s="149">
        <f t="shared" si="4687"/>
        <v>0</v>
      </c>
      <c r="AX475" s="144"/>
      <c r="AY475" s="146">
        <f t="shared" si="4688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89"/>
        <v>0</v>
      </c>
      <c r="BG475" s="32">
        <v>0</v>
      </c>
      <c r="BH475" s="32">
        <f t="shared" si="4690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91"/>
        <v>0</v>
      </c>
      <c r="BR475" s="95">
        <f t="shared" si="4692"/>
        <v>0</v>
      </c>
      <c r="BS475" s="133">
        <f t="shared" si="4698"/>
        <v>0</v>
      </c>
      <c r="BT475" s="133">
        <f t="shared" si="4698"/>
        <v>0</v>
      </c>
      <c r="BU475" s="133">
        <f t="shared" si="4698"/>
        <v>0</v>
      </c>
      <c r="BV475" s="133">
        <f t="shared" si="4698"/>
        <v>0</v>
      </c>
      <c r="BW475" s="133">
        <f t="shared" si="4698"/>
        <v>0</v>
      </c>
      <c r="BX475" s="133">
        <f t="shared" ref="BX475:CO480" si="4707">BW475-$BQ475</f>
        <v>0</v>
      </c>
      <c r="BY475" s="133">
        <f t="shared" si="4707"/>
        <v>0</v>
      </c>
      <c r="BZ475" s="133">
        <f t="shared" si="4707"/>
        <v>0</v>
      </c>
      <c r="CA475" s="133">
        <f t="shared" si="4707"/>
        <v>0</v>
      </c>
      <c r="CB475" s="133">
        <f t="shared" si="4707"/>
        <v>0</v>
      </c>
      <c r="CC475" s="133">
        <f t="shared" si="4707"/>
        <v>0</v>
      </c>
      <c r="CD475" s="133">
        <f t="shared" si="4707"/>
        <v>0</v>
      </c>
      <c r="CE475" s="133">
        <f t="shared" si="4707"/>
        <v>0</v>
      </c>
      <c r="CF475" s="133">
        <f t="shared" si="4707"/>
        <v>0</v>
      </c>
      <c r="CG475" s="133">
        <f t="shared" si="4707"/>
        <v>0</v>
      </c>
      <c r="CH475" s="133">
        <f t="shared" si="4707"/>
        <v>0</v>
      </c>
      <c r="CI475" s="133">
        <f t="shared" si="4707"/>
        <v>0</v>
      </c>
      <c r="CJ475" s="133">
        <f t="shared" si="4707"/>
        <v>0</v>
      </c>
      <c r="CK475" s="133">
        <f t="shared" si="4707"/>
        <v>0</v>
      </c>
      <c r="CL475" s="133">
        <f t="shared" si="4707"/>
        <v>0</v>
      </c>
      <c r="CM475" s="133">
        <f t="shared" si="4707"/>
        <v>0</v>
      </c>
      <c r="CN475" s="133">
        <f t="shared" si="4707"/>
        <v>0</v>
      </c>
      <c r="CO475" s="133">
        <f t="shared" si="4707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75"/>
        <v>0</v>
      </c>
      <c r="DB475" s="4">
        <f t="shared" si="4676"/>
        <v>0</v>
      </c>
      <c r="DC475" s="4">
        <f t="shared" si="4677"/>
        <v>0</v>
      </c>
      <c r="DD475" s="136">
        <f t="shared" si="4678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79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 t="shared" si="4656"/>
        <v>0</v>
      </c>
      <c r="FS475" s="150" t="b">
        <f t="shared" si="4657"/>
        <v>0</v>
      </c>
      <c r="FT475" s="150" t="b">
        <f t="shared" si="4658"/>
        <v>0</v>
      </c>
      <c r="FU475" s="150" t="b">
        <f t="shared" si="4659"/>
        <v>0</v>
      </c>
      <c r="FV475" s="150" t="b">
        <f t="shared" si="4660"/>
        <v>1</v>
      </c>
      <c r="FW475" s="104" t="b">
        <f t="shared" si="4662"/>
        <v>0</v>
      </c>
      <c r="FX475" s="150" t="b">
        <f t="shared" si="4693"/>
        <v>1</v>
      </c>
      <c r="FY475" s="104" t="s">
        <v>491</v>
      </c>
      <c r="FZ475" s="104" t="b">
        <f t="shared" si="4694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95"/>
        <v>1</v>
      </c>
      <c r="GI475" s="151" t="b">
        <f t="shared" si="4696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81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82"/>
        <v>0</v>
      </c>
      <c r="AF476" s="95">
        <f t="shared" si="4683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84"/>
        <v>нет оборота</v>
      </c>
      <c r="AO476" s="133" t="str">
        <f t="shared" si="4685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86"/>
        <v>нет остатка</v>
      </c>
      <c r="AW476" s="117">
        <f t="shared" si="4687"/>
        <v>0</v>
      </c>
      <c r="AX476" s="14"/>
      <c r="AY476" s="25">
        <f t="shared" si="4688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89"/>
        <v>0</v>
      </c>
      <c r="BG476" s="32">
        <v>0</v>
      </c>
      <c r="BH476" s="32">
        <f t="shared" si="4690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91"/>
        <v>0</v>
      </c>
      <c r="BR476" s="95">
        <f t="shared" si="4692"/>
        <v>0</v>
      </c>
      <c r="BS476" s="133">
        <f t="shared" si="4698"/>
        <v>0</v>
      </c>
      <c r="BT476" s="133">
        <f t="shared" si="4698"/>
        <v>0</v>
      </c>
      <c r="BU476" s="133">
        <f t="shared" si="4698"/>
        <v>0</v>
      </c>
      <c r="BV476" s="133">
        <f t="shared" si="4698"/>
        <v>0</v>
      </c>
      <c r="BW476" s="133">
        <f t="shared" si="4698"/>
        <v>0</v>
      </c>
      <c r="BX476" s="133">
        <f t="shared" si="4707"/>
        <v>0</v>
      </c>
      <c r="BY476" s="133">
        <f t="shared" si="4707"/>
        <v>0</v>
      </c>
      <c r="BZ476" s="133">
        <f t="shared" si="4707"/>
        <v>0</v>
      </c>
      <c r="CA476" s="133">
        <f t="shared" si="4707"/>
        <v>0</v>
      </c>
      <c r="CB476" s="133">
        <f t="shared" si="4707"/>
        <v>0</v>
      </c>
      <c r="CC476" s="133">
        <f t="shared" si="4707"/>
        <v>0</v>
      </c>
      <c r="CD476" s="133">
        <f t="shared" si="4707"/>
        <v>0</v>
      </c>
      <c r="CE476" s="133">
        <f t="shared" si="4707"/>
        <v>0</v>
      </c>
      <c r="CF476" s="133">
        <f t="shared" si="4707"/>
        <v>0</v>
      </c>
      <c r="CG476" s="133">
        <f t="shared" si="4707"/>
        <v>0</v>
      </c>
      <c r="CH476" s="133">
        <f t="shared" si="4707"/>
        <v>0</v>
      </c>
      <c r="CI476" s="133">
        <f t="shared" si="4707"/>
        <v>0</v>
      </c>
      <c r="CJ476" s="133">
        <f t="shared" si="4707"/>
        <v>0</v>
      </c>
      <c r="CK476" s="133">
        <f t="shared" si="4707"/>
        <v>0</v>
      </c>
      <c r="CL476" s="133">
        <f t="shared" si="4707"/>
        <v>0</v>
      </c>
      <c r="CM476" s="133">
        <f t="shared" si="4707"/>
        <v>0</v>
      </c>
      <c r="CN476" s="133">
        <f t="shared" si="4707"/>
        <v>0</v>
      </c>
      <c r="CO476" s="133">
        <f t="shared" si="4707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75"/>
        <v>0</v>
      </c>
      <c r="DB476" s="4">
        <f t="shared" si="4676"/>
        <v>0</v>
      </c>
      <c r="DC476" s="4">
        <f t="shared" si="4677"/>
        <v>0</v>
      </c>
      <c r="DD476" s="136">
        <f t="shared" si="4678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708">BK476*$FH476</f>
        <v>0</v>
      </c>
      <c r="EQ476" s="62">
        <f t="shared" si="4708"/>
        <v>0</v>
      </c>
      <c r="ER476" s="62">
        <f t="shared" si="4708"/>
        <v>0</v>
      </c>
      <c r="ES476" s="62">
        <f t="shared" si="4708"/>
        <v>0</v>
      </c>
      <c r="ET476" s="62">
        <f t="shared" si="4708"/>
        <v>0</v>
      </c>
      <c r="EU476" s="62">
        <f t="shared" si="4708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79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 t="shared" si="4656"/>
        <v>1</v>
      </c>
      <c r="FS476" s="103" t="b">
        <f t="shared" si="4657"/>
        <v>1</v>
      </c>
      <c r="FT476" s="103" t="b">
        <f t="shared" si="4658"/>
        <v>1</v>
      </c>
      <c r="FU476" s="103" t="b">
        <f t="shared" si="4659"/>
        <v>1</v>
      </c>
      <c r="FV476" s="103" t="b">
        <f t="shared" si="4660"/>
        <v>1</v>
      </c>
      <c r="FW476" s="104" t="b">
        <f t="shared" si="4662"/>
        <v>0</v>
      </c>
      <c r="FX476" s="120" t="b">
        <f t="shared" si="4693"/>
        <v>1</v>
      </c>
      <c r="FY476" s="104" t="s">
        <v>491</v>
      </c>
      <c r="FZ476" s="104" t="b">
        <f t="shared" si="4694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95"/>
        <v>1</v>
      </c>
      <c r="GI476" s="8" t="b">
        <f t="shared" si="4696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81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82"/>
        <v>0</v>
      </c>
      <c r="AF477" s="95">
        <f t="shared" si="4683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84"/>
        <v>нет оборота</v>
      </c>
      <c r="AO477" s="130" t="str">
        <f t="shared" si="4685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86"/>
        <v>нет остатка</v>
      </c>
      <c r="AW477" s="149">
        <f t="shared" si="4687"/>
        <v>0</v>
      </c>
      <c r="AX477" s="144"/>
      <c r="AY477" s="146">
        <f t="shared" si="4688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89"/>
        <v>0</v>
      </c>
      <c r="BG477" s="32">
        <v>0</v>
      </c>
      <c r="BH477" s="32">
        <f t="shared" si="4690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91"/>
        <v>0</v>
      </c>
      <c r="BR477" s="95">
        <f t="shared" si="4692"/>
        <v>0</v>
      </c>
      <c r="BS477" s="133">
        <f t="shared" si="4698"/>
        <v>0</v>
      </c>
      <c r="BT477" s="133">
        <f t="shared" si="4698"/>
        <v>0</v>
      </c>
      <c r="BU477" s="133">
        <f t="shared" si="4698"/>
        <v>0</v>
      </c>
      <c r="BV477" s="133">
        <f t="shared" si="4698"/>
        <v>0</v>
      </c>
      <c r="BW477" s="133">
        <f t="shared" si="4698"/>
        <v>0</v>
      </c>
      <c r="BX477" s="133">
        <f t="shared" si="4707"/>
        <v>0</v>
      </c>
      <c r="BY477" s="133">
        <f t="shared" si="4707"/>
        <v>0</v>
      </c>
      <c r="BZ477" s="133">
        <f t="shared" si="4707"/>
        <v>0</v>
      </c>
      <c r="CA477" s="133">
        <f t="shared" si="4707"/>
        <v>0</v>
      </c>
      <c r="CB477" s="133">
        <f t="shared" si="4707"/>
        <v>0</v>
      </c>
      <c r="CC477" s="133">
        <f t="shared" si="4707"/>
        <v>0</v>
      </c>
      <c r="CD477" s="133">
        <f t="shared" si="4707"/>
        <v>0</v>
      </c>
      <c r="CE477" s="133">
        <f t="shared" si="4707"/>
        <v>0</v>
      </c>
      <c r="CF477" s="133">
        <f t="shared" si="4707"/>
        <v>0</v>
      </c>
      <c r="CG477" s="133">
        <f t="shared" si="4707"/>
        <v>0</v>
      </c>
      <c r="CH477" s="133">
        <f t="shared" si="4707"/>
        <v>0</v>
      </c>
      <c r="CI477" s="133">
        <f t="shared" si="4707"/>
        <v>0</v>
      </c>
      <c r="CJ477" s="133">
        <f t="shared" si="4707"/>
        <v>0</v>
      </c>
      <c r="CK477" s="133">
        <f t="shared" si="4707"/>
        <v>0</v>
      </c>
      <c r="CL477" s="133">
        <f t="shared" si="4707"/>
        <v>0</v>
      </c>
      <c r="CM477" s="133">
        <f t="shared" si="4707"/>
        <v>0</v>
      </c>
      <c r="CN477" s="133">
        <f t="shared" si="4707"/>
        <v>0</v>
      </c>
      <c r="CO477" s="133">
        <f t="shared" si="4707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75"/>
        <v>0</v>
      </c>
      <c r="DB477" s="4">
        <f t="shared" si="4676"/>
        <v>0</v>
      </c>
      <c r="DC477" s="4">
        <f t="shared" si="4677"/>
        <v>0</v>
      </c>
      <c r="DD477" s="136">
        <f t="shared" si="4678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79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 t="shared" si="4656"/>
        <v>0</v>
      </c>
      <c r="FS477" s="150" t="b">
        <f t="shared" si="4657"/>
        <v>0</v>
      </c>
      <c r="FT477" s="150" t="b">
        <f t="shared" si="4658"/>
        <v>0</v>
      </c>
      <c r="FU477" s="150" t="b">
        <f t="shared" si="4659"/>
        <v>0</v>
      </c>
      <c r="FV477" s="150" t="b">
        <f t="shared" si="4660"/>
        <v>1</v>
      </c>
      <c r="FW477" s="104" t="b">
        <f t="shared" si="4662"/>
        <v>0</v>
      </c>
      <c r="FX477" s="150" t="b">
        <f t="shared" si="4693"/>
        <v>1</v>
      </c>
      <c r="FY477" s="104" t="s">
        <v>491</v>
      </c>
      <c r="FZ477" s="104" t="b">
        <f t="shared" si="4694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95"/>
        <v>1</v>
      </c>
      <c r="GI477" s="151" t="b">
        <f t="shared" si="4696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81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82"/>
        <v>0</v>
      </c>
      <c r="AF478" s="95">
        <f t="shared" si="4683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84"/>
        <v>нет оборота</v>
      </c>
      <c r="AO478" s="133" t="str">
        <f t="shared" si="4685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86"/>
        <v>нет остатка</v>
      </c>
      <c r="AW478" s="117">
        <f t="shared" si="4687"/>
        <v>0</v>
      </c>
      <c r="AX478" s="14"/>
      <c r="AY478" s="25">
        <f t="shared" si="4688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89"/>
        <v>0</v>
      </c>
      <c r="BG478" s="32">
        <v>0</v>
      </c>
      <c r="BH478" s="32">
        <f t="shared" si="4690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91"/>
        <v>0</v>
      </c>
      <c r="BR478" s="95">
        <f t="shared" si="4692"/>
        <v>0</v>
      </c>
      <c r="BS478" s="133">
        <f t="shared" si="4698"/>
        <v>0</v>
      </c>
      <c r="BT478" s="133">
        <f t="shared" si="4698"/>
        <v>0</v>
      </c>
      <c r="BU478" s="133">
        <f t="shared" si="4698"/>
        <v>0</v>
      </c>
      <c r="BV478" s="133">
        <f t="shared" si="4698"/>
        <v>0</v>
      </c>
      <c r="BW478" s="133">
        <f t="shared" si="4698"/>
        <v>0</v>
      </c>
      <c r="BX478" s="133">
        <f t="shared" si="4707"/>
        <v>0</v>
      </c>
      <c r="BY478" s="133">
        <f t="shared" si="4707"/>
        <v>0</v>
      </c>
      <c r="BZ478" s="133">
        <f t="shared" si="4707"/>
        <v>0</v>
      </c>
      <c r="CA478" s="133">
        <f t="shared" si="4707"/>
        <v>0</v>
      </c>
      <c r="CB478" s="133">
        <f t="shared" si="4707"/>
        <v>0</v>
      </c>
      <c r="CC478" s="133">
        <f t="shared" si="4707"/>
        <v>0</v>
      </c>
      <c r="CD478" s="133">
        <f t="shared" si="4707"/>
        <v>0</v>
      </c>
      <c r="CE478" s="133">
        <f t="shared" si="4707"/>
        <v>0</v>
      </c>
      <c r="CF478" s="133">
        <f t="shared" si="4707"/>
        <v>0</v>
      </c>
      <c r="CG478" s="133">
        <f t="shared" si="4707"/>
        <v>0</v>
      </c>
      <c r="CH478" s="133">
        <f t="shared" si="4707"/>
        <v>0</v>
      </c>
      <c r="CI478" s="133">
        <f t="shared" si="4707"/>
        <v>0</v>
      </c>
      <c r="CJ478" s="133">
        <f t="shared" si="4707"/>
        <v>0</v>
      </c>
      <c r="CK478" s="133">
        <f t="shared" si="4707"/>
        <v>0</v>
      </c>
      <c r="CL478" s="133">
        <f t="shared" si="4707"/>
        <v>0</v>
      </c>
      <c r="CM478" s="133">
        <f t="shared" si="4707"/>
        <v>0</v>
      </c>
      <c r="CN478" s="133">
        <f t="shared" si="4707"/>
        <v>0</v>
      </c>
      <c r="CO478" s="133">
        <f t="shared" si="4707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75"/>
        <v>0</v>
      </c>
      <c r="DB478" s="4">
        <f t="shared" si="4676"/>
        <v>0</v>
      </c>
      <c r="DC478" s="4">
        <f t="shared" si="4677"/>
        <v>0</v>
      </c>
      <c r="DD478" s="136">
        <f t="shared" si="4678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709">BK478*$FH478</f>
        <v>0</v>
      </c>
      <c r="EQ478" s="62">
        <f t="shared" si="4709"/>
        <v>0</v>
      </c>
      <c r="ER478" s="62">
        <f t="shared" si="4709"/>
        <v>0</v>
      </c>
      <c r="ES478" s="62">
        <f t="shared" si="4709"/>
        <v>0</v>
      </c>
      <c r="ET478" s="62">
        <f t="shared" si="4709"/>
        <v>0</v>
      </c>
      <c r="EU478" s="62">
        <f t="shared" si="4709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79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 t="shared" si="4656"/>
        <v>1</v>
      </c>
      <c r="FS478" s="103" t="b">
        <f t="shared" si="4657"/>
        <v>1</v>
      </c>
      <c r="FT478" s="103" t="b">
        <f t="shared" si="4658"/>
        <v>1</v>
      </c>
      <c r="FU478" s="103" t="b">
        <f t="shared" si="4659"/>
        <v>1</v>
      </c>
      <c r="FV478" s="103" t="b">
        <f t="shared" si="4660"/>
        <v>1</v>
      </c>
      <c r="FW478" s="104" t="b">
        <f t="shared" si="4662"/>
        <v>0</v>
      </c>
      <c r="FX478" s="120" t="b">
        <f t="shared" si="4693"/>
        <v>1</v>
      </c>
      <c r="FY478" s="104" t="s">
        <v>491</v>
      </c>
      <c r="FZ478" s="104" t="b">
        <f t="shared" si="4694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95"/>
        <v>1</v>
      </c>
      <c r="GI478" s="8" t="b">
        <f t="shared" si="4696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81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82"/>
        <v>0</v>
      </c>
      <c r="AF479" s="95">
        <f t="shared" si="4683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84"/>
        <v>нет оборота</v>
      </c>
      <c r="AO479" s="130" t="str">
        <f t="shared" si="4685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86"/>
        <v>нет остатка</v>
      </c>
      <c r="AW479" s="149">
        <f t="shared" si="4687"/>
        <v>0</v>
      </c>
      <c r="AX479" s="144"/>
      <c r="AY479" s="146">
        <f t="shared" si="4688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89"/>
        <v>0</v>
      </c>
      <c r="BG479" s="32">
        <v>0</v>
      </c>
      <c r="BH479" s="32">
        <f t="shared" si="4690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91"/>
        <v>0</v>
      </c>
      <c r="BR479" s="95">
        <f t="shared" si="4692"/>
        <v>0</v>
      </c>
      <c r="BS479" s="133">
        <f t="shared" si="4698"/>
        <v>0</v>
      </c>
      <c r="BT479" s="133">
        <f t="shared" si="4698"/>
        <v>0</v>
      </c>
      <c r="BU479" s="133">
        <f t="shared" si="4698"/>
        <v>0</v>
      </c>
      <c r="BV479" s="133">
        <f t="shared" si="4698"/>
        <v>0</v>
      </c>
      <c r="BW479" s="133">
        <f t="shared" si="4698"/>
        <v>0</v>
      </c>
      <c r="BX479" s="133">
        <f t="shared" si="4707"/>
        <v>0</v>
      </c>
      <c r="BY479" s="133">
        <f t="shared" si="4707"/>
        <v>0</v>
      </c>
      <c r="BZ479" s="133">
        <f t="shared" si="4707"/>
        <v>0</v>
      </c>
      <c r="CA479" s="133">
        <f t="shared" si="4707"/>
        <v>0</v>
      </c>
      <c r="CB479" s="133">
        <f t="shared" si="4707"/>
        <v>0</v>
      </c>
      <c r="CC479" s="133">
        <f t="shared" si="4707"/>
        <v>0</v>
      </c>
      <c r="CD479" s="133">
        <f t="shared" si="4707"/>
        <v>0</v>
      </c>
      <c r="CE479" s="133">
        <f t="shared" si="4707"/>
        <v>0</v>
      </c>
      <c r="CF479" s="133">
        <f t="shared" si="4707"/>
        <v>0</v>
      </c>
      <c r="CG479" s="133">
        <f t="shared" si="4707"/>
        <v>0</v>
      </c>
      <c r="CH479" s="133">
        <f t="shared" si="4707"/>
        <v>0</v>
      </c>
      <c r="CI479" s="133">
        <f t="shared" si="4707"/>
        <v>0</v>
      </c>
      <c r="CJ479" s="133">
        <f t="shared" si="4707"/>
        <v>0</v>
      </c>
      <c r="CK479" s="133">
        <f t="shared" si="4707"/>
        <v>0</v>
      </c>
      <c r="CL479" s="133">
        <f t="shared" si="4707"/>
        <v>0</v>
      </c>
      <c r="CM479" s="133">
        <f t="shared" si="4707"/>
        <v>0</v>
      </c>
      <c r="CN479" s="133">
        <f t="shared" si="4707"/>
        <v>0</v>
      </c>
      <c r="CO479" s="133">
        <f t="shared" si="4707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75"/>
        <v>0</v>
      </c>
      <c r="DB479" s="4">
        <f t="shared" si="4676"/>
        <v>0</v>
      </c>
      <c r="DC479" s="4">
        <f t="shared" si="4677"/>
        <v>0</v>
      </c>
      <c r="DD479" s="136">
        <f t="shared" si="4678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79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 t="shared" si="4656"/>
        <v>0</v>
      </c>
      <c r="FS479" s="150" t="b">
        <f t="shared" si="4657"/>
        <v>0</v>
      </c>
      <c r="FT479" s="150" t="b">
        <f t="shared" si="4658"/>
        <v>0</v>
      </c>
      <c r="FU479" s="150" t="b">
        <f t="shared" si="4659"/>
        <v>0</v>
      </c>
      <c r="FV479" s="150" t="b">
        <f t="shared" si="4660"/>
        <v>1</v>
      </c>
      <c r="FW479" s="104" t="b">
        <f t="shared" si="4662"/>
        <v>0</v>
      </c>
      <c r="FX479" s="150" t="b">
        <f t="shared" si="4693"/>
        <v>1</v>
      </c>
      <c r="FY479" s="104" t="s">
        <v>491</v>
      </c>
      <c r="FZ479" s="104" t="b">
        <f t="shared" si="4694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95"/>
        <v>1</v>
      </c>
      <c r="GI479" s="151" t="b">
        <f t="shared" si="4696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81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82"/>
        <v>0</v>
      </c>
      <c r="AF480" s="95">
        <f t="shared" si="4683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84"/>
        <v>нет оборота</v>
      </c>
      <c r="AO480" s="133" t="str">
        <f t="shared" si="4685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86"/>
        <v>нет остатка</v>
      </c>
      <c r="AW480" s="117">
        <f t="shared" si="4687"/>
        <v>0</v>
      </c>
      <c r="AX480" s="14"/>
      <c r="AY480" s="25">
        <f t="shared" si="4688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89"/>
        <v>0</v>
      </c>
      <c r="BG480" s="32">
        <v>0</v>
      </c>
      <c r="BH480" s="32">
        <f t="shared" si="4690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91"/>
        <v>0</v>
      </c>
      <c r="BR480" s="95">
        <f t="shared" si="4692"/>
        <v>0</v>
      </c>
      <c r="BS480" s="133">
        <f t="shared" si="4698"/>
        <v>0</v>
      </c>
      <c r="BT480" s="133">
        <f t="shared" si="4698"/>
        <v>0</v>
      </c>
      <c r="BU480" s="133">
        <f t="shared" si="4698"/>
        <v>0</v>
      </c>
      <c r="BV480" s="133">
        <f t="shared" si="4698"/>
        <v>0</v>
      </c>
      <c r="BW480" s="133">
        <f t="shared" si="4698"/>
        <v>0</v>
      </c>
      <c r="BX480" s="133">
        <f t="shared" si="4707"/>
        <v>0</v>
      </c>
      <c r="BY480" s="133">
        <f t="shared" si="4707"/>
        <v>0</v>
      </c>
      <c r="BZ480" s="133">
        <f t="shared" si="4707"/>
        <v>0</v>
      </c>
      <c r="CA480" s="133">
        <f t="shared" si="4707"/>
        <v>0</v>
      </c>
      <c r="CB480" s="133">
        <f t="shared" si="4707"/>
        <v>0</v>
      </c>
      <c r="CC480" s="133">
        <f t="shared" si="4707"/>
        <v>0</v>
      </c>
      <c r="CD480" s="133">
        <f t="shared" si="4707"/>
        <v>0</v>
      </c>
      <c r="CE480" s="133">
        <f t="shared" si="4707"/>
        <v>0</v>
      </c>
      <c r="CF480" s="133">
        <f t="shared" si="4707"/>
        <v>0</v>
      </c>
      <c r="CG480" s="133">
        <f t="shared" si="4707"/>
        <v>0</v>
      </c>
      <c r="CH480" s="133">
        <f t="shared" si="4707"/>
        <v>0</v>
      </c>
      <c r="CI480" s="133">
        <f t="shared" si="4707"/>
        <v>0</v>
      </c>
      <c r="CJ480" s="133">
        <f t="shared" si="4707"/>
        <v>0</v>
      </c>
      <c r="CK480" s="133">
        <f t="shared" si="4707"/>
        <v>0</v>
      </c>
      <c r="CL480" s="133">
        <f t="shared" si="4707"/>
        <v>0</v>
      </c>
      <c r="CM480" s="133">
        <f t="shared" si="4707"/>
        <v>0</v>
      </c>
      <c r="CN480" s="133">
        <f t="shared" si="4707"/>
        <v>0</v>
      </c>
      <c r="CO480" s="133">
        <f t="shared" si="4707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75"/>
        <v>0</v>
      </c>
      <c r="DB480" s="4">
        <f t="shared" si="4676"/>
        <v>0</v>
      </c>
      <c r="DC480" s="4">
        <f t="shared" si="4677"/>
        <v>0</v>
      </c>
      <c r="DD480" s="136">
        <f t="shared" si="4678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710">BK480*$FH480</f>
        <v>0</v>
      </c>
      <c r="EQ480" s="62">
        <f t="shared" si="4710"/>
        <v>0</v>
      </c>
      <c r="ER480" s="62">
        <f t="shared" si="4710"/>
        <v>0</v>
      </c>
      <c r="ES480" s="62">
        <f t="shared" si="4710"/>
        <v>0</v>
      </c>
      <c r="ET480" s="62">
        <f t="shared" si="4710"/>
        <v>0</v>
      </c>
      <c r="EU480" s="62">
        <f t="shared" si="4710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79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 t="shared" si="4656"/>
        <v>1</v>
      </c>
      <c r="FS480" s="103" t="b">
        <f t="shared" si="4657"/>
        <v>1</v>
      </c>
      <c r="FT480" s="103" t="b">
        <f t="shared" si="4658"/>
        <v>1</v>
      </c>
      <c r="FU480" s="103" t="b">
        <f t="shared" si="4659"/>
        <v>1</v>
      </c>
      <c r="FV480" s="103" t="b">
        <f t="shared" si="4660"/>
        <v>1</v>
      </c>
      <c r="FW480" s="104" t="b">
        <f t="shared" si="4662"/>
        <v>0</v>
      </c>
      <c r="FX480" s="120" t="b">
        <f t="shared" si="4693"/>
        <v>1</v>
      </c>
      <c r="FY480" s="104" t="s">
        <v>491</v>
      </c>
      <c r="FZ480" s="104" t="b">
        <f t="shared" si="4694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95"/>
        <v>1</v>
      </c>
      <c r="GI480" s="8" t="b">
        <f t="shared" si="4696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711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712">AA481*FH481</f>
        <v>0</v>
      </c>
      <c r="AF481" s="95">
        <f t="shared" ref="AF481:AF484" si="4713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714">IFERROR(S481/BQ481*30,"нет оборота")</f>
        <v>нет оборота</v>
      </c>
      <c r="AO481" s="130" t="str">
        <f t="shared" ref="AO481:AO484" si="4715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716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717">IF(AT481="Да",W481,0)</f>
        <v>0</v>
      </c>
      <c r="AX481" s="144"/>
      <c r="AY481" s="146">
        <f t="shared" ref="AY481:AY484" si="4718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719">BE481*FH481</f>
        <v>0</v>
      </c>
      <c r="BG481" s="32">
        <v>0</v>
      </c>
      <c r="BH481" s="32">
        <f t="shared" ref="BH481:BH484" si="4720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721">IF(COUNTIF(BK481:BP481,"&gt;0")=0,0,SUM(BK481:BP481)/COUNTIF(BK481:BP481,"&gt;0"))</f>
        <v>0</v>
      </c>
      <c r="BR481" s="95">
        <f t="shared" ref="BR481:BR484" si="4722">IF(OR(Q481=0,SUM(BK481:BP481)=0,V481&gt;Q481),V481-BK481,Q481-BK481)</f>
        <v>0</v>
      </c>
      <c r="BS481" s="133">
        <f t="shared" ref="BS481:BW494" si="4723">BR481-BL481</f>
        <v>0</v>
      </c>
      <c r="BT481" s="133">
        <f t="shared" si="4723"/>
        <v>0</v>
      </c>
      <c r="BU481" s="133">
        <f t="shared" si="4723"/>
        <v>0</v>
      </c>
      <c r="BV481" s="133">
        <f t="shared" si="4723"/>
        <v>0</v>
      </c>
      <c r="BW481" s="133">
        <f t="shared" si="4723"/>
        <v>0</v>
      </c>
      <c r="BX481" s="133">
        <f t="shared" ref="BX481:CO484" si="4724">BW481-$BQ481</f>
        <v>0</v>
      </c>
      <c r="BY481" s="133">
        <f t="shared" si="4724"/>
        <v>0</v>
      </c>
      <c r="BZ481" s="133">
        <f t="shared" si="4724"/>
        <v>0</v>
      </c>
      <c r="CA481" s="133">
        <f t="shared" si="4724"/>
        <v>0</v>
      </c>
      <c r="CB481" s="133">
        <f t="shared" si="4724"/>
        <v>0</v>
      </c>
      <c r="CC481" s="133">
        <f t="shared" si="4724"/>
        <v>0</v>
      </c>
      <c r="CD481" s="133">
        <f t="shared" si="4724"/>
        <v>0</v>
      </c>
      <c r="CE481" s="133">
        <f t="shared" si="4724"/>
        <v>0</v>
      </c>
      <c r="CF481" s="133">
        <f t="shared" si="4724"/>
        <v>0</v>
      </c>
      <c r="CG481" s="133">
        <f t="shared" si="4724"/>
        <v>0</v>
      </c>
      <c r="CH481" s="133">
        <f t="shared" si="4724"/>
        <v>0</v>
      </c>
      <c r="CI481" s="133">
        <f t="shared" si="4724"/>
        <v>0</v>
      </c>
      <c r="CJ481" s="133">
        <f t="shared" si="4724"/>
        <v>0</v>
      </c>
      <c r="CK481" s="133">
        <f t="shared" si="4724"/>
        <v>0</v>
      </c>
      <c r="CL481" s="133">
        <f t="shared" si="4724"/>
        <v>0</v>
      </c>
      <c r="CM481" s="133">
        <f t="shared" si="4724"/>
        <v>0</v>
      </c>
      <c r="CN481" s="133">
        <f t="shared" si="4724"/>
        <v>0</v>
      </c>
      <c r="CO481" s="133">
        <f t="shared" si="4724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725">IFERROR(CZ481/CY481,0)</f>
        <v>0</v>
      </c>
      <c r="DB481" s="4">
        <f t="shared" ref="DB481:DB483" si="4726">CY481*FH481</f>
        <v>0</v>
      </c>
      <c r="DC481" s="4">
        <f t="shared" ref="DC481:DC483" si="4727">CZ481*FH481</f>
        <v>0</v>
      </c>
      <c r="DD481" s="136">
        <f t="shared" ref="DD481:DD483" si="4728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729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 t="shared" si="4656"/>
        <v>0</v>
      </c>
      <c r="FS481" s="150" t="b">
        <f t="shared" si="4657"/>
        <v>0</v>
      </c>
      <c r="FT481" s="150" t="b">
        <f t="shared" si="4658"/>
        <v>0</v>
      </c>
      <c r="FU481" s="150" t="b">
        <f t="shared" si="4659"/>
        <v>0</v>
      </c>
      <c r="FV481" s="150" t="b">
        <f t="shared" si="4660"/>
        <v>1</v>
      </c>
      <c r="FW481" s="104" t="b">
        <f t="shared" si="4662"/>
        <v>0</v>
      </c>
      <c r="FX481" s="150" t="b">
        <f t="shared" ref="FX481:FX485" si="4730">EXACT(FQ481,BI481)</f>
        <v>1</v>
      </c>
      <c r="FY481" s="104" t="s">
        <v>491</v>
      </c>
      <c r="FZ481" s="104" t="b">
        <f t="shared" ref="FZ481:FZ485" si="4731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732">EXACT(GD481,C481)</f>
        <v>1</v>
      </c>
      <c r="GI481" s="151" t="b">
        <f t="shared" ref="GI481:GI485" si="4733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711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712"/>
        <v>0</v>
      </c>
      <c r="AF482" s="95">
        <f t="shared" si="4713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714"/>
        <v>нет оборота</v>
      </c>
      <c r="AO482" s="133" t="str">
        <f t="shared" si="4715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716"/>
        <v>нет остатка</v>
      </c>
      <c r="AW482" s="117">
        <f t="shared" si="4717"/>
        <v>0</v>
      </c>
      <c r="AX482" s="14"/>
      <c r="AY482" s="25">
        <f t="shared" si="4718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719"/>
        <v>0</v>
      </c>
      <c r="BG482" s="32">
        <v>0</v>
      </c>
      <c r="BH482" s="32">
        <f t="shared" si="4720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721"/>
        <v>0</v>
      </c>
      <c r="BR482" s="95">
        <f t="shared" si="4722"/>
        <v>0</v>
      </c>
      <c r="BS482" s="133">
        <f t="shared" si="4723"/>
        <v>0</v>
      </c>
      <c r="BT482" s="133">
        <f t="shared" si="4723"/>
        <v>0</v>
      </c>
      <c r="BU482" s="133">
        <f t="shared" si="4723"/>
        <v>0</v>
      </c>
      <c r="BV482" s="133">
        <f t="shared" si="4723"/>
        <v>0</v>
      </c>
      <c r="BW482" s="133">
        <f t="shared" si="4723"/>
        <v>0</v>
      </c>
      <c r="BX482" s="133">
        <f t="shared" si="4724"/>
        <v>0</v>
      </c>
      <c r="BY482" s="133">
        <f t="shared" si="4724"/>
        <v>0</v>
      </c>
      <c r="BZ482" s="133">
        <f t="shared" si="4724"/>
        <v>0</v>
      </c>
      <c r="CA482" s="133">
        <f t="shared" si="4724"/>
        <v>0</v>
      </c>
      <c r="CB482" s="133">
        <f t="shared" si="4724"/>
        <v>0</v>
      </c>
      <c r="CC482" s="133">
        <f t="shared" si="4724"/>
        <v>0</v>
      </c>
      <c r="CD482" s="133">
        <f t="shared" si="4724"/>
        <v>0</v>
      </c>
      <c r="CE482" s="133">
        <f t="shared" si="4724"/>
        <v>0</v>
      </c>
      <c r="CF482" s="133">
        <f t="shared" si="4724"/>
        <v>0</v>
      </c>
      <c r="CG482" s="133">
        <f t="shared" si="4724"/>
        <v>0</v>
      </c>
      <c r="CH482" s="133">
        <f t="shared" si="4724"/>
        <v>0</v>
      </c>
      <c r="CI482" s="133">
        <f t="shared" si="4724"/>
        <v>0</v>
      </c>
      <c r="CJ482" s="133">
        <f t="shared" si="4724"/>
        <v>0</v>
      </c>
      <c r="CK482" s="133">
        <f t="shared" si="4724"/>
        <v>0</v>
      </c>
      <c r="CL482" s="133">
        <f t="shared" si="4724"/>
        <v>0</v>
      </c>
      <c r="CM482" s="133">
        <f t="shared" si="4724"/>
        <v>0</v>
      </c>
      <c r="CN482" s="133">
        <f t="shared" si="4724"/>
        <v>0</v>
      </c>
      <c r="CO482" s="133">
        <f t="shared" si="4724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725"/>
        <v>0</v>
      </c>
      <c r="DB482" s="4">
        <f t="shared" si="4726"/>
        <v>0</v>
      </c>
      <c r="DC482" s="4">
        <f t="shared" si="4727"/>
        <v>0</v>
      </c>
      <c r="DD482" s="136">
        <f t="shared" si="4728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734">BK482*$FH482</f>
        <v>0</v>
      </c>
      <c r="EQ482" s="62">
        <f t="shared" si="4734"/>
        <v>0</v>
      </c>
      <c r="ER482" s="62">
        <f t="shared" si="4734"/>
        <v>0</v>
      </c>
      <c r="ES482" s="62">
        <f t="shared" si="4734"/>
        <v>0</v>
      </c>
      <c r="ET482" s="62">
        <f t="shared" si="4734"/>
        <v>0</v>
      </c>
      <c r="EU482" s="62">
        <f t="shared" si="4734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729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 t="shared" si="4656"/>
        <v>1</v>
      </c>
      <c r="FS482" s="103" t="b">
        <f t="shared" si="4657"/>
        <v>1</v>
      </c>
      <c r="FT482" s="103" t="b">
        <f t="shared" si="4658"/>
        <v>1</v>
      </c>
      <c r="FU482" s="103" t="b">
        <f t="shared" si="4659"/>
        <v>1</v>
      </c>
      <c r="FV482" s="103" t="b">
        <f t="shared" si="4660"/>
        <v>1</v>
      </c>
      <c r="FW482" s="104" t="b">
        <f t="shared" si="4662"/>
        <v>0</v>
      </c>
      <c r="FX482" s="120" t="b">
        <f t="shared" si="4730"/>
        <v>1</v>
      </c>
      <c r="FY482" s="104" t="s">
        <v>491</v>
      </c>
      <c r="FZ482" s="104" t="b">
        <f t="shared" si="4731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732"/>
        <v>1</v>
      </c>
      <c r="GI482" s="8" t="b">
        <f t="shared" si="4733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711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712"/>
        <v>0</v>
      </c>
      <c r="AF483" s="95">
        <f t="shared" si="4713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714"/>
        <v>нет оборота</v>
      </c>
      <c r="AO483" s="130" t="str">
        <f t="shared" si="4715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716"/>
        <v>нет остатка</v>
      </c>
      <c r="AW483" s="149">
        <f t="shared" si="4717"/>
        <v>0</v>
      </c>
      <c r="AX483" s="144"/>
      <c r="AY483" s="146">
        <f t="shared" si="4718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719"/>
        <v>0</v>
      </c>
      <c r="BG483" s="32">
        <v>0</v>
      </c>
      <c r="BH483" s="32">
        <f t="shared" si="4720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721"/>
        <v>0</v>
      </c>
      <c r="BR483" s="95">
        <f t="shared" si="4722"/>
        <v>0</v>
      </c>
      <c r="BS483" s="133">
        <f t="shared" si="4723"/>
        <v>0</v>
      </c>
      <c r="BT483" s="133">
        <f t="shared" si="4723"/>
        <v>0</v>
      </c>
      <c r="BU483" s="133">
        <f t="shared" si="4723"/>
        <v>0</v>
      </c>
      <c r="BV483" s="133">
        <f t="shared" si="4723"/>
        <v>0</v>
      </c>
      <c r="BW483" s="133">
        <f t="shared" si="4723"/>
        <v>0</v>
      </c>
      <c r="BX483" s="133">
        <f t="shared" si="4724"/>
        <v>0</v>
      </c>
      <c r="BY483" s="133">
        <f t="shared" si="4724"/>
        <v>0</v>
      </c>
      <c r="BZ483" s="133">
        <f t="shared" si="4724"/>
        <v>0</v>
      </c>
      <c r="CA483" s="133">
        <f t="shared" si="4724"/>
        <v>0</v>
      </c>
      <c r="CB483" s="133">
        <f t="shared" si="4724"/>
        <v>0</v>
      </c>
      <c r="CC483" s="133">
        <f t="shared" si="4724"/>
        <v>0</v>
      </c>
      <c r="CD483" s="133">
        <f t="shared" si="4724"/>
        <v>0</v>
      </c>
      <c r="CE483" s="133">
        <f t="shared" si="4724"/>
        <v>0</v>
      </c>
      <c r="CF483" s="133">
        <f t="shared" si="4724"/>
        <v>0</v>
      </c>
      <c r="CG483" s="133">
        <f t="shared" si="4724"/>
        <v>0</v>
      </c>
      <c r="CH483" s="133">
        <f t="shared" si="4724"/>
        <v>0</v>
      </c>
      <c r="CI483" s="133">
        <f t="shared" si="4724"/>
        <v>0</v>
      </c>
      <c r="CJ483" s="133">
        <f t="shared" si="4724"/>
        <v>0</v>
      </c>
      <c r="CK483" s="133">
        <f t="shared" si="4724"/>
        <v>0</v>
      </c>
      <c r="CL483" s="133">
        <f t="shared" si="4724"/>
        <v>0</v>
      </c>
      <c r="CM483" s="133">
        <f t="shared" si="4724"/>
        <v>0</v>
      </c>
      <c r="CN483" s="133">
        <f t="shared" si="4724"/>
        <v>0</v>
      </c>
      <c r="CO483" s="133">
        <f t="shared" si="4724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725"/>
        <v>0</v>
      </c>
      <c r="DB483" s="4">
        <f t="shared" si="4726"/>
        <v>0</v>
      </c>
      <c r="DC483" s="4">
        <f t="shared" si="4727"/>
        <v>0</v>
      </c>
      <c r="DD483" s="136">
        <f t="shared" si="4728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729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 t="shared" si="4656"/>
        <v>0</v>
      </c>
      <c r="FS483" s="150" t="b">
        <f t="shared" si="4657"/>
        <v>0</v>
      </c>
      <c r="FT483" s="150" t="b">
        <f t="shared" si="4658"/>
        <v>0</v>
      </c>
      <c r="FU483" s="150" t="b">
        <f t="shared" si="4659"/>
        <v>0</v>
      </c>
      <c r="FV483" s="150" t="b">
        <f t="shared" si="4660"/>
        <v>1</v>
      </c>
      <c r="FW483" s="104" t="b">
        <f t="shared" si="4662"/>
        <v>0</v>
      </c>
      <c r="FX483" s="150" t="b">
        <f t="shared" si="4730"/>
        <v>1</v>
      </c>
      <c r="FY483" s="104" t="s">
        <v>491</v>
      </c>
      <c r="FZ483" s="104" t="b">
        <f t="shared" si="4731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732"/>
        <v>1</v>
      </c>
      <c r="GI483" s="151" t="b">
        <f t="shared" si="4733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711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712"/>
        <v>0</v>
      </c>
      <c r="AF484" s="95">
        <f t="shared" si="4713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714"/>
        <v>нет оборота</v>
      </c>
      <c r="AO484" s="133" t="str">
        <f t="shared" si="4715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716"/>
        <v>нет остатка</v>
      </c>
      <c r="AW484" s="117">
        <f t="shared" si="4717"/>
        <v>0</v>
      </c>
      <c r="AX484" s="14"/>
      <c r="AY484" s="25">
        <f t="shared" si="4718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719"/>
        <v>0</v>
      </c>
      <c r="BG484" s="32">
        <v>0</v>
      </c>
      <c r="BH484" s="32">
        <f t="shared" si="4720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721"/>
        <v>0</v>
      </c>
      <c r="BR484" s="95">
        <f t="shared" si="4722"/>
        <v>0</v>
      </c>
      <c r="BS484" s="133">
        <f t="shared" si="4723"/>
        <v>0</v>
      </c>
      <c r="BT484" s="133">
        <f t="shared" si="4723"/>
        <v>0</v>
      </c>
      <c r="BU484" s="133">
        <f t="shared" si="4723"/>
        <v>0</v>
      </c>
      <c r="BV484" s="133">
        <f t="shared" si="4723"/>
        <v>0</v>
      </c>
      <c r="BW484" s="133">
        <f t="shared" si="4723"/>
        <v>0</v>
      </c>
      <c r="BX484" s="133">
        <f t="shared" si="4724"/>
        <v>0</v>
      </c>
      <c r="BY484" s="133">
        <f t="shared" si="4724"/>
        <v>0</v>
      </c>
      <c r="BZ484" s="133">
        <f t="shared" si="4724"/>
        <v>0</v>
      </c>
      <c r="CA484" s="133">
        <f t="shared" si="4724"/>
        <v>0</v>
      </c>
      <c r="CB484" s="133">
        <f t="shared" si="4724"/>
        <v>0</v>
      </c>
      <c r="CC484" s="133">
        <f t="shared" si="4724"/>
        <v>0</v>
      </c>
      <c r="CD484" s="133">
        <f t="shared" si="4724"/>
        <v>0</v>
      </c>
      <c r="CE484" s="133">
        <f t="shared" si="4724"/>
        <v>0</v>
      </c>
      <c r="CF484" s="133">
        <f t="shared" si="4724"/>
        <v>0</v>
      </c>
      <c r="CG484" s="133">
        <f t="shared" si="4724"/>
        <v>0</v>
      </c>
      <c r="CH484" s="133">
        <f t="shared" si="4724"/>
        <v>0</v>
      </c>
      <c r="CI484" s="133">
        <f t="shared" si="4724"/>
        <v>0</v>
      </c>
      <c r="CJ484" s="133">
        <f t="shared" si="4724"/>
        <v>0</v>
      </c>
      <c r="CK484" s="133">
        <f t="shared" si="4724"/>
        <v>0</v>
      </c>
      <c r="CL484" s="133">
        <f t="shared" si="4724"/>
        <v>0</v>
      </c>
      <c r="CM484" s="133">
        <f t="shared" si="4724"/>
        <v>0</v>
      </c>
      <c r="CN484" s="133">
        <f t="shared" si="4724"/>
        <v>0</v>
      </c>
      <c r="CO484" s="133">
        <f t="shared" si="4724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735">IFERROR(CZ484/CY484,0)</f>
        <v>0</v>
      </c>
      <c r="DB484" s="4">
        <f t="shared" ref="DB484:DB494" si="4736">CY484*FH484</f>
        <v>0</v>
      </c>
      <c r="DC484" s="4">
        <f t="shared" ref="DC484:DC494" si="4737">CZ484*FH484</f>
        <v>0</v>
      </c>
      <c r="DD484" s="136">
        <f t="shared" ref="DD484:DD494" si="4738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739">BK484*$FH484</f>
        <v>0</v>
      </c>
      <c r="EQ484" s="62">
        <f t="shared" si="4739"/>
        <v>0</v>
      </c>
      <c r="ER484" s="62">
        <f t="shared" si="4739"/>
        <v>0</v>
      </c>
      <c r="ES484" s="62">
        <f t="shared" si="4739"/>
        <v>0</v>
      </c>
      <c r="ET484" s="62">
        <f t="shared" si="4739"/>
        <v>0</v>
      </c>
      <c r="EU484" s="62">
        <f t="shared" si="4739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740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 t="shared" si="4656"/>
        <v>1</v>
      </c>
      <c r="FS484" s="103" t="b">
        <f t="shared" si="4657"/>
        <v>1</v>
      </c>
      <c r="FT484" s="103" t="b">
        <f t="shared" si="4658"/>
        <v>1</v>
      </c>
      <c r="FU484" s="103" t="b">
        <f t="shared" si="4659"/>
        <v>1</v>
      </c>
      <c r="FV484" s="103" t="b">
        <f t="shared" si="4660"/>
        <v>1</v>
      </c>
      <c r="FW484" s="104" t="b">
        <f t="shared" si="4662"/>
        <v>0</v>
      </c>
      <c r="FX484" s="120" t="b">
        <f t="shared" si="4730"/>
        <v>1</v>
      </c>
      <c r="FY484" s="104" t="s">
        <v>491</v>
      </c>
      <c r="FZ484" s="104" t="b">
        <f t="shared" si="4731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732"/>
        <v>1</v>
      </c>
      <c r="GI484" s="8" t="b">
        <f t="shared" si="4733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741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742">AA485*FH485</f>
        <v>0</v>
      </c>
      <c r="AF485" s="95">
        <f t="shared" ref="AF485:AF494" si="4743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744">IFERROR(S485/BQ485*30,"нет оборота")</f>
        <v>нет оборота</v>
      </c>
      <c r="AO485" s="130" t="str">
        <f t="shared" ref="AO485:AO494" si="4745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746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747">IF(AT485="Да",W485,0)</f>
        <v>0</v>
      </c>
      <c r="AX485" s="144"/>
      <c r="AY485" s="146">
        <f t="shared" ref="AY485:AY494" si="4748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49">BE485*FH485</f>
        <v>0</v>
      </c>
      <c r="BG485" s="32">
        <v>0</v>
      </c>
      <c r="BH485" s="32">
        <f t="shared" ref="BH485:BH494" si="4750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51">IF(COUNTIF(BK485:BP485,"&gt;0")=0,0,SUM(BK485:BP485)/COUNTIF(BK485:BP485,"&gt;0"))</f>
        <v>0</v>
      </c>
      <c r="BR485" s="95">
        <f t="shared" ref="BR485:BR494" si="4752">IF(OR(Q485=0,SUM(BK485:BP485)=0,V485&gt;Q485),V485-BK485,Q485-BK485)</f>
        <v>0</v>
      </c>
      <c r="BS485" s="133">
        <f t="shared" si="4723"/>
        <v>0</v>
      </c>
      <c r="BT485" s="133">
        <f t="shared" si="4723"/>
        <v>0</v>
      </c>
      <c r="BU485" s="133">
        <f t="shared" si="4723"/>
        <v>0</v>
      </c>
      <c r="BV485" s="133">
        <f t="shared" si="4723"/>
        <v>0</v>
      </c>
      <c r="BW485" s="133">
        <f t="shared" si="4723"/>
        <v>0</v>
      </c>
      <c r="BX485" s="133">
        <f t="shared" ref="BX485:CO491" si="4753">BW485-$BQ485</f>
        <v>0</v>
      </c>
      <c r="BY485" s="133">
        <f t="shared" si="4753"/>
        <v>0</v>
      </c>
      <c r="BZ485" s="133">
        <f t="shared" si="4753"/>
        <v>0</v>
      </c>
      <c r="CA485" s="133">
        <f t="shared" si="4753"/>
        <v>0</v>
      </c>
      <c r="CB485" s="133">
        <f t="shared" si="4753"/>
        <v>0</v>
      </c>
      <c r="CC485" s="133">
        <f t="shared" si="4753"/>
        <v>0</v>
      </c>
      <c r="CD485" s="133">
        <f t="shared" si="4753"/>
        <v>0</v>
      </c>
      <c r="CE485" s="133">
        <f t="shared" si="4753"/>
        <v>0</v>
      </c>
      <c r="CF485" s="133">
        <f t="shared" si="4753"/>
        <v>0</v>
      </c>
      <c r="CG485" s="133">
        <f t="shared" si="4753"/>
        <v>0</v>
      </c>
      <c r="CH485" s="133">
        <f t="shared" si="4753"/>
        <v>0</v>
      </c>
      <c r="CI485" s="133">
        <f t="shared" si="4753"/>
        <v>0</v>
      </c>
      <c r="CJ485" s="133">
        <f t="shared" si="4753"/>
        <v>0</v>
      </c>
      <c r="CK485" s="133">
        <f t="shared" si="4753"/>
        <v>0</v>
      </c>
      <c r="CL485" s="133">
        <f t="shared" si="4753"/>
        <v>0</v>
      </c>
      <c r="CM485" s="133">
        <f t="shared" si="4753"/>
        <v>0</v>
      </c>
      <c r="CN485" s="133">
        <f t="shared" si="4753"/>
        <v>0</v>
      </c>
      <c r="CO485" s="133">
        <f t="shared" si="4753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735"/>
        <v>0</v>
      </c>
      <c r="DB485" s="4">
        <f t="shared" si="4736"/>
        <v>0</v>
      </c>
      <c r="DC485" s="4">
        <f t="shared" si="4737"/>
        <v>0</v>
      </c>
      <c r="DD485" s="136">
        <f t="shared" si="4738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740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 t="shared" si="4656"/>
        <v>0</v>
      </c>
      <c r="FS485" s="150" t="b">
        <f t="shared" si="4657"/>
        <v>0</v>
      </c>
      <c r="FT485" s="150" t="b">
        <f t="shared" si="4658"/>
        <v>0</v>
      </c>
      <c r="FU485" s="150" t="b">
        <f t="shared" si="4659"/>
        <v>0</v>
      </c>
      <c r="FV485" s="150" t="b">
        <f t="shared" si="4660"/>
        <v>1</v>
      </c>
      <c r="FW485" s="104" t="b">
        <f t="shared" si="4662"/>
        <v>0</v>
      </c>
      <c r="FX485" s="150" t="b">
        <f t="shared" si="4730"/>
        <v>1</v>
      </c>
      <c r="FY485" s="104" t="s">
        <v>491</v>
      </c>
      <c r="FZ485" s="104" t="b">
        <f t="shared" si="4731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732"/>
        <v>1</v>
      </c>
      <c r="GI485" s="151" t="b">
        <f t="shared" si="4733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741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742"/>
        <v>0</v>
      </c>
      <c r="AF486" s="95">
        <f t="shared" si="4743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744"/>
        <v>нет оборота</v>
      </c>
      <c r="AO486" s="133" t="str">
        <f t="shared" si="4745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746"/>
        <v>нет остатка</v>
      </c>
      <c r="AW486" s="117">
        <f t="shared" si="4747"/>
        <v>0</v>
      </c>
      <c r="AX486" s="14"/>
      <c r="AY486" s="25">
        <f t="shared" si="4748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49"/>
        <v>0</v>
      </c>
      <c r="BG486" s="32">
        <v>0</v>
      </c>
      <c r="BH486" s="32">
        <f t="shared" si="4750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51"/>
        <v>0</v>
      </c>
      <c r="BR486" s="95">
        <f t="shared" si="4752"/>
        <v>0</v>
      </c>
      <c r="BS486" s="133">
        <f t="shared" si="4723"/>
        <v>0</v>
      </c>
      <c r="BT486" s="133">
        <f t="shared" si="4723"/>
        <v>0</v>
      </c>
      <c r="BU486" s="133">
        <f t="shared" si="4723"/>
        <v>0</v>
      </c>
      <c r="BV486" s="133">
        <f t="shared" si="4723"/>
        <v>0</v>
      </c>
      <c r="BW486" s="133">
        <f t="shared" si="4723"/>
        <v>0</v>
      </c>
      <c r="BX486" s="133">
        <f t="shared" si="4753"/>
        <v>0</v>
      </c>
      <c r="BY486" s="133">
        <f t="shared" si="4753"/>
        <v>0</v>
      </c>
      <c r="BZ486" s="133">
        <f t="shared" si="4753"/>
        <v>0</v>
      </c>
      <c r="CA486" s="133">
        <f t="shared" si="4753"/>
        <v>0</v>
      </c>
      <c r="CB486" s="133">
        <f t="shared" si="4753"/>
        <v>0</v>
      </c>
      <c r="CC486" s="133">
        <f t="shared" si="4753"/>
        <v>0</v>
      </c>
      <c r="CD486" s="133">
        <f t="shared" si="4753"/>
        <v>0</v>
      </c>
      <c r="CE486" s="133">
        <f t="shared" si="4753"/>
        <v>0</v>
      </c>
      <c r="CF486" s="133">
        <f t="shared" si="4753"/>
        <v>0</v>
      </c>
      <c r="CG486" s="133">
        <f t="shared" si="4753"/>
        <v>0</v>
      </c>
      <c r="CH486" s="133">
        <f t="shared" si="4753"/>
        <v>0</v>
      </c>
      <c r="CI486" s="133">
        <f t="shared" si="4753"/>
        <v>0</v>
      </c>
      <c r="CJ486" s="133">
        <f t="shared" si="4753"/>
        <v>0</v>
      </c>
      <c r="CK486" s="133">
        <f t="shared" si="4753"/>
        <v>0</v>
      </c>
      <c r="CL486" s="133">
        <f t="shared" si="4753"/>
        <v>0</v>
      </c>
      <c r="CM486" s="133">
        <f t="shared" si="4753"/>
        <v>0</v>
      </c>
      <c r="CN486" s="133">
        <f t="shared" si="4753"/>
        <v>0</v>
      </c>
      <c r="CO486" s="133">
        <f t="shared" si="4753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735"/>
        <v>0</v>
      </c>
      <c r="DB486" s="4">
        <f t="shared" si="4736"/>
        <v>0</v>
      </c>
      <c r="DC486" s="4">
        <f t="shared" si="4737"/>
        <v>0</v>
      </c>
      <c r="DD486" s="136">
        <f t="shared" si="4738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54">BK486*$FH486</f>
        <v>0</v>
      </c>
      <c r="EQ486" s="62">
        <f t="shared" si="4754"/>
        <v>0</v>
      </c>
      <c r="ER486" s="62">
        <f t="shared" si="4754"/>
        <v>0</v>
      </c>
      <c r="ES486" s="62">
        <f t="shared" si="4754"/>
        <v>0</v>
      </c>
      <c r="ET486" s="62">
        <f t="shared" si="4754"/>
        <v>0</v>
      </c>
      <c r="EU486" s="62">
        <f t="shared" si="4754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740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 t="shared" si="4656"/>
        <v>1</v>
      </c>
      <c r="FS486" s="103" t="b">
        <f t="shared" si="4657"/>
        <v>1</v>
      </c>
      <c r="FT486" s="103" t="b">
        <f t="shared" si="4658"/>
        <v>1</v>
      </c>
      <c r="FU486" s="103" t="b">
        <f t="shared" si="4659"/>
        <v>1</v>
      </c>
      <c r="FV486" s="103" t="b">
        <f t="shared" si="4660"/>
        <v>1</v>
      </c>
      <c r="FW486" s="104" t="b">
        <f t="shared" si="4662"/>
        <v>0</v>
      </c>
      <c r="FX486" s="120" t="b">
        <f t="shared" ref="FX486:FX494" si="4755">EXACT(FQ486,BI486)</f>
        <v>1</v>
      </c>
      <c r="FY486" s="104" t="s">
        <v>491</v>
      </c>
      <c r="FZ486" s="104" t="b">
        <f t="shared" ref="FZ486:FZ494" si="4756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57">EXACT(GD486,C486)</f>
        <v>1</v>
      </c>
      <c r="GI486" s="8" t="b">
        <f t="shared" ref="GI486:GI494" si="4758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741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742"/>
        <v>0</v>
      </c>
      <c r="AF487" s="95">
        <f t="shared" si="4743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744"/>
        <v>нет оборота</v>
      </c>
      <c r="AO487" s="130" t="str">
        <f t="shared" si="4745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746"/>
        <v>нет остатка</v>
      </c>
      <c r="AW487" s="149">
        <f t="shared" si="4747"/>
        <v>0</v>
      </c>
      <c r="AX487" s="144"/>
      <c r="AY487" s="146">
        <f t="shared" si="4748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49"/>
        <v>0</v>
      </c>
      <c r="BG487" s="32">
        <v>0</v>
      </c>
      <c r="BH487" s="32">
        <f t="shared" si="4750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51"/>
        <v>0</v>
      </c>
      <c r="BR487" s="95">
        <f t="shared" si="4752"/>
        <v>0</v>
      </c>
      <c r="BS487" s="133">
        <f t="shared" si="4723"/>
        <v>0</v>
      </c>
      <c r="BT487" s="133">
        <f t="shared" si="4723"/>
        <v>0</v>
      </c>
      <c r="BU487" s="133">
        <f t="shared" si="4723"/>
        <v>0</v>
      </c>
      <c r="BV487" s="133">
        <f t="shared" si="4723"/>
        <v>0</v>
      </c>
      <c r="BW487" s="133">
        <f t="shared" si="4723"/>
        <v>0</v>
      </c>
      <c r="BX487" s="133">
        <f t="shared" si="4753"/>
        <v>0</v>
      </c>
      <c r="BY487" s="133">
        <f t="shared" si="4753"/>
        <v>0</v>
      </c>
      <c r="BZ487" s="133">
        <f t="shared" si="4753"/>
        <v>0</v>
      </c>
      <c r="CA487" s="133">
        <f t="shared" si="4753"/>
        <v>0</v>
      </c>
      <c r="CB487" s="133">
        <f t="shared" si="4753"/>
        <v>0</v>
      </c>
      <c r="CC487" s="133">
        <f t="shared" si="4753"/>
        <v>0</v>
      </c>
      <c r="CD487" s="133">
        <f t="shared" si="4753"/>
        <v>0</v>
      </c>
      <c r="CE487" s="133">
        <f t="shared" si="4753"/>
        <v>0</v>
      </c>
      <c r="CF487" s="133">
        <f t="shared" si="4753"/>
        <v>0</v>
      </c>
      <c r="CG487" s="133">
        <f t="shared" si="4753"/>
        <v>0</v>
      </c>
      <c r="CH487" s="133">
        <f t="shared" si="4753"/>
        <v>0</v>
      </c>
      <c r="CI487" s="133">
        <f t="shared" si="4753"/>
        <v>0</v>
      </c>
      <c r="CJ487" s="133">
        <f t="shared" si="4753"/>
        <v>0</v>
      </c>
      <c r="CK487" s="133">
        <f t="shared" si="4753"/>
        <v>0</v>
      </c>
      <c r="CL487" s="133">
        <f t="shared" si="4753"/>
        <v>0</v>
      </c>
      <c r="CM487" s="133">
        <f t="shared" si="4753"/>
        <v>0</v>
      </c>
      <c r="CN487" s="133">
        <f t="shared" si="4753"/>
        <v>0</v>
      </c>
      <c r="CO487" s="133">
        <f t="shared" si="4753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735"/>
        <v>0</v>
      </c>
      <c r="DB487" s="4">
        <f t="shared" si="4736"/>
        <v>0</v>
      </c>
      <c r="DC487" s="4">
        <f t="shared" si="4737"/>
        <v>0</v>
      </c>
      <c r="DD487" s="136">
        <f t="shared" si="4738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740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 t="shared" si="4656"/>
        <v>0</v>
      </c>
      <c r="FS487" s="150" t="b">
        <f t="shared" si="4657"/>
        <v>0</v>
      </c>
      <c r="FT487" s="150" t="b">
        <f t="shared" si="4658"/>
        <v>0</v>
      </c>
      <c r="FU487" s="150" t="b">
        <f t="shared" si="4659"/>
        <v>0</v>
      </c>
      <c r="FV487" s="150" t="b">
        <f t="shared" si="4660"/>
        <v>1</v>
      </c>
      <c r="FW487" s="104" t="b">
        <f t="shared" si="4662"/>
        <v>0</v>
      </c>
      <c r="FX487" s="150" t="b">
        <f t="shared" si="4755"/>
        <v>1</v>
      </c>
      <c r="FY487" s="104" t="s">
        <v>491</v>
      </c>
      <c r="FZ487" s="104" t="b">
        <f t="shared" si="4756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57"/>
        <v>1</v>
      </c>
      <c r="GI487" s="151" t="b">
        <f t="shared" si="4758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741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742"/>
        <v>0</v>
      </c>
      <c r="AF488" s="95">
        <f t="shared" si="4743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744"/>
        <v>нет оборота</v>
      </c>
      <c r="AO488" s="133" t="str">
        <f t="shared" si="4745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746"/>
        <v>нет остатка</v>
      </c>
      <c r="AW488" s="117">
        <f t="shared" si="4747"/>
        <v>0</v>
      </c>
      <c r="AX488" s="14"/>
      <c r="AY488" s="25">
        <f t="shared" si="4748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49"/>
        <v>0</v>
      </c>
      <c r="BG488" s="32">
        <v>0</v>
      </c>
      <c r="BH488" s="32">
        <f t="shared" si="4750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51"/>
        <v>0</v>
      </c>
      <c r="BR488" s="95">
        <f t="shared" si="4752"/>
        <v>0</v>
      </c>
      <c r="BS488" s="133">
        <f t="shared" si="4723"/>
        <v>0</v>
      </c>
      <c r="BT488" s="133">
        <f t="shared" si="4723"/>
        <v>0</v>
      </c>
      <c r="BU488" s="133">
        <f t="shared" si="4723"/>
        <v>0</v>
      </c>
      <c r="BV488" s="133">
        <f t="shared" si="4723"/>
        <v>0</v>
      </c>
      <c r="BW488" s="133">
        <f t="shared" si="4723"/>
        <v>0</v>
      </c>
      <c r="BX488" s="133">
        <f t="shared" si="4753"/>
        <v>0</v>
      </c>
      <c r="BY488" s="133">
        <f t="shared" si="4753"/>
        <v>0</v>
      </c>
      <c r="BZ488" s="133">
        <f t="shared" si="4753"/>
        <v>0</v>
      </c>
      <c r="CA488" s="133">
        <f t="shared" si="4753"/>
        <v>0</v>
      </c>
      <c r="CB488" s="133">
        <f t="shared" si="4753"/>
        <v>0</v>
      </c>
      <c r="CC488" s="133">
        <f t="shared" si="4753"/>
        <v>0</v>
      </c>
      <c r="CD488" s="133">
        <f t="shared" si="4753"/>
        <v>0</v>
      </c>
      <c r="CE488" s="133">
        <f t="shared" si="4753"/>
        <v>0</v>
      </c>
      <c r="CF488" s="133">
        <f t="shared" si="4753"/>
        <v>0</v>
      </c>
      <c r="CG488" s="133">
        <f t="shared" si="4753"/>
        <v>0</v>
      </c>
      <c r="CH488" s="133">
        <f t="shared" si="4753"/>
        <v>0</v>
      </c>
      <c r="CI488" s="133">
        <f t="shared" si="4753"/>
        <v>0</v>
      </c>
      <c r="CJ488" s="133">
        <f t="shared" si="4753"/>
        <v>0</v>
      </c>
      <c r="CK488" s="133">
        <f t="shared" si="4753"/>
        <v>0</v>
      </c>
      <c r="CL488" s="133">
        <f t="shared" si="4753"/>
        <v>0</v>
      </c>
      <c r="CM488" s="133">
        <f t="shared" si="4753"/>
        <v>0</v>
      </c>
      <c r="CN488" s="133">
        <f t="shared" si="4753"/>
        <v>0</v>
      </c>
      <c r="CO488" s="133">
        <f t="shared" si="4753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735"/>
        <v>0</v>
      </c>
      <c r="DB488" s="4">
        <f t="shared" si="4736"/>
        <v>0</v>
      </c>
      <c r="DC488" s="4">
        <f t="shared" si="4737"/>
        <v>0</v>
      </c>
      <c r="DD488" s="136">
        <f t="shared" si="4738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59">BK488*$FH488</f>
        <v>0</v>
      </c>
      <c r="EQ488" s="62">
        <f t="shared" si="4759"/>
        <v>0</v>
      </c>
      <c r="ER488" s="62">
        <f t="shared" si="4759"/>
        <v>0</v>
      </c>
      <c r="ES488" s="62">
        <f t="shared" si="4759"/>
        <v>0</v>
      </c>
      <c r="ET488" s="62">
        <f t="shared" si="4759"/>
        <v>0</v>
      </c>
      <c r="EU488" s="62">
        <f t="shared" si="4759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740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 t="shared" si="4656"/>
        <v>1</v>
      </c>
      <c r="FS488" s="103" t="b">
        <f t="shared" si="4657"/>
        <v>1</v>
      </c>
      <c r="FT488" s="103" t="b">
        <f t="shared" si="4658"/>
        <v>1</v>
      </c>
      <c r="FU488" s="103" t="b">
        <f t="shared" si="4659"/>
        <v>1</v>
      </c>
      <c r="FV488" s="103" t="b">
        <f t="shared" si="4660"/>
        <v>1</v>
      </c>
      <c r="FW488" s="104" t="b">
        <f t="shared" si="4662"/>
        <v>0</v>
      </c>
      <c r="FX488" s="120" t="b">
        <f t="shared" si="4755"/>
        <v>1</v>
      </c>
      <c r="FY488" s="104" t="s">
        <v>491</v>
      </c>
      <c r="FZ488" s="104" t="b">
        <f t="shared" si="4756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57"/>
        <v>1</v>
      </c>
      <c r="GI488" s="8" t="b">
        <f t="shared" si="4758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741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742"/>
        <v>0</v>
      </c>
      <c r="AF489" s="95">
        <f t="shared" si="4743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744"/>
        <v>нет оборота</v>
      </c>
      <c r="AO489" s="130" t="str">
        <f t="shared" si="4745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746"/>
        <v>нет остатка</v>
      </c>
      <c r="AW489" s="149">
        <f t="shared" si="4747"/>
        <v>0</v>
      </c>
      <c r="AX489" s="144"/>
      <c r="AY489" s="146">
        <f t="shared" si="4748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49"/>
        <v>0</v>
      </c>
      <c r="BG489" s="32">
        <v>0</v>
      </c>
      <c r="BH489" s="32">
        <f t="shared" si="4750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51"/>
        <v>0</v>
      </c>
      <c r="BR489" s="95">
        <f t="shared" si="4752"/>
        <v>0</v>
      </c>
      <c r="BS489" s="133">
        <f t="shared" si="4723"/>
        <v>0</v>
      </c>
      <c r="BT489" s="133">
        <f t="shared" si="4723"/>
        <v>0</v>
      </c>
      <c r="BU489" s="133">
        <f t="shared" si="4723"/>
        <v>0</v>
      </c>
      <c r="BV489" s="133">
        <f t="shared" si="4723"/>
        <v>0</v>
      </c>
      <c r="BW489" s="133">
        <f t="shared" si="4723"/>
        <v>0</v>
      </c>
      <c r="BX489" s="133">
        <f t="shared" si="4753"/>
        <v>0</v>
      </c>
      <c r="BY489" s="133">
        <f t="shared" si="4753"/>
        <v>0</v>
      </c>
      <c r="BZ489" s="133">
        <f t="shared" si="4753"/>
        <v>0</v>
      </c>
      <c r="CA489" s="133">
        <f t="shared" si="4753"/>
        <v>0</v>
      </c>
      <c r="CB489" s="133">
        <f t="shared" si="4753"/>
        <v>0</v>
      </c>
      <c r="CC489" s="133">
        <f t="shared" si="4753"/>
        <v>0</v>
      </c>
      <c r="CD489" s="133">
        <f t="shared" si="4753"/>
        <v>0</v>
      </c>
      <c r="CE489" s="133">
        <f t="shared" si="4753"/>
        <v>0</v>
      </c>
      <c r="CF489" s="133">
        <f t="shared" si="4753"/>
        <v>0</v>
      </c>
      <c r="CG489" s="133">
        <f t="shared" si="4753"/>
        <v>0</v>
      </c>
      <c r="CH489" s="133">
        <f t="shared" si="4753"/>
        <v>0</v>
      </c>
      <c r="CI489" s="133">
        <f t="shared" si="4753"/>
        <v>0</v>
      </c>
      <c r="CJ489" s="133">
        <f t="shared" si="4753"/>
        <v>0</v>
      </c>
      <c r="CK489" s="133">
        <f t="shared" si="4753"/>
        <v>0</v>
      </c>
      <c r="CL489" s="133">
        <f t="shared" si="4753"/>
        <v>0</v>
      </c>
      <c r="CM489" s="133">
        <f t="shared" si="4753"/>
        <v>0</v>
      </c>
      <c r="CN489" s="133">
        <f t="shared" si="4753"/>
        <v>0</v>
      </c>
      <c r="CO489" s="133">
        <f t="shared" si="4753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735"/>
        <v>0</v>
      </c>
      <c r="DB489" s="4">
        <f t="shared" si="4736"/>
        <v>0</v>
      </c>
      <c r="DC489" s="4">
        <f t="shared" si="4737"/>
        <v>0</v>
      </c>
      <c r="DD489" s="136">
        <f t="shared" si="4738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740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 t="shared" si="4656"/>
        <v>0</v>
      </c>
      <c r="FS489" s="150" t="b">
        <f t="shared" si="4657"/>
        <v>0</v>
      </c>
      <c r="FT489" s="150" t="b">
        <f t="shared" si="4658"/>
        <v>0</v>
      </c>
      <c r="FU489" s="150" t="b">
        <f t="shared" si="4659"/>
        <v>0</v>
      </c>
      <c r="FV489" s="150" t="b">
        <f t="shared" si="4660"/>
        <v>1</v>
      </c>
      <c r="FW489" s="104" t="b">
        <f t="shared" si="4662"/>
        <v>0</v>
      </c>
      <c r="FX489" s="150" t="b">
        <f t="shared" si="4755"/>
        <v>1</v>
      </c>
      <c r="FY489" s="104" t="s">
        <v>491</v>
      </c>
      <c r="FZ489" s="104" t="b">
        <f t="shared" si="4756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57"/>
        <v>1</v>
      </c>
      <c r="GI489" s="151" t="b">
        <f t="shared" si="4758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741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742"/>
        <v>0</v>
      </c>
      <c r="AF490" s="95">
        <f t="shared" si="4743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744"/>
        <v>нет оборота</v>
      </c>
      <c r="AO490" s="133" t="str">
        <f t="shared" si="4745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746"/>
        <v>нет остатка</v>
      </c>
      <c r="AW490" s="117">
        <f t="shared" si="4747"/>
        <v>0</v>
      </c>
      <c r="AX490" s="14"/>
      <c r="AY490" s="25">
        <f t="shared" si="4748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49"/>
        <v>0</v>
      </c>
      <c r="BG490" s="32">
        <v>0</v>
      </c>
      <c r="BH490" s="32">
        <f t="shared" si="4750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51"/>
        <v>0</v>
      </c>
      <c r="BR490" s="95">
        <f t="shared" si="4752"/>
        <v>0</v>
      </c>
      <c r="BS490" s="133">
        <f t="shared" si="4723"/>
        <v>0</v>
      </c>
      <c r="BT490" s="133">
        <f t="shared" si="4723"/>
        <v>0</v>
      </c>
      <c r="BU490" s="133">
        <f t="shared" si="4723"/>
        <v>0</v>
      </c>
      <c r="BV490" s="133">
        <f t="shared" si="4723"/>
        <v>0</v>
      </c>
      <c r="BW490" s="133">
        <f t="shared" si="4723"/>
        <v>0</v>
      </c>
      <c r="BX490" s="133">
        <f t="shared" si="4753"/>
        <v>0</v>
      </c>
      <c r="BY490" s="133">
        <f t="shared" si="4753"/>
        <v>0</v>
      </c>
      <c r="BZ490" s="133">
        <f t="shared" si="4753"/>
        <v>0</v>
      </c>
      <c r="CA490" s="133">
        <f t="shared" si="4753"/>
        <v>0</v>
      </c>
      <c r="CB490" s="133">
        <f t="shared" si="4753"/>
        <v>0</v>
      </c>
      <c r="CC490" s="133">
        <f t="shared" si="4753"/>
        <v>0</v>
      </c>
      <c r="CD490" s="133">
        <f t="shared" si="4753"/>
        <v>0</v>
      </c>
      <c r="CE490" s="133">
        <f t="shared" si="4753"/>
        <v>0</v>
      </c>
      <c r="CF490" s="133">
        <f t="shared" si="4753"/>
        <v>0</v>
      </c>
      <c r="CG490" s="133">
        <f t="shared" si="4753"/>
        <v>0</v>
      </c>
      <c r="CH490" s="133">
        <f t="shared" si="4753"/>
        <v>0</v>
      </c>
      <c r="CI490" s="133">
        <f t="shared" si="4753"/>
        <v>0</v>
      </c>
      <c r="CJ490" s="133">
        <f t="shared" si="4753"/>
        <v>0</v>
      </c>
      <c r="CK490" s="133">
        <f t="shared" si="4753"/>
        <v>0</v>
      </c>
      <c r="CL490" s="133">
        <f t="shared" si="4753"/>
        <v>0</v>
      </c>
      <c r="CM490" s="133">
        <f t="shared" si="4753"/>
        <v>0</v>
      </c>
      <c r="CN490" s="133">
        <f t="shared" si="4753"/>
        <v>0</v>
      </c>
      <c r="CO490" s="133">
        <f t="shared" si="4753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735"/>
        <v>0</v>
      </c>
      <c r="DB490" s="4">
        <f t="shared" si="4736"/>
        <v>0</v>
      </c>
      <c r="DC490" s="4">
        <f t="shared" si="4737"/>
        <v>0</v>
      </c>
      <c r="DD490" s="136">
        <f t="shared" si="4738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60">BK490*$FH490</f>
        <v>0</v>
      </c>
      <c r="EQ490" s="62">
        <f t="shared" si="4760"/>
        <v>0</v>
      </c>
      <c r="ER490" s="62">
        <f t="shared" si="4760"/>
        <v>0</v>
      </c>
      <c r="ES490" s="62">
        <f t="shared" si="4760"/>
        <v>0</v>
      </c>
      <c r="ET490" s="62">
        <f t="shared" si="4760"/>
        <v>0</v>
      </c>
      <c r="EU490" s="62">
        <f t="shared" si="4760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740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 t="shared" si="4656"/>
        <v>1</v>
      </c>
      <c r="FS490" s="103" t="b">
        <f t="shared" si="4657"/>
        <v>1</v>
      </c>
      <c r="FT490" s="103" t="b">
        <f t="shared" si="4658"/>
        <v>1</v>
      </c>
      <c r="FU490" s="103" t="b">
        <f t="shared" si="4659"/>
        <v>1</v>
      </c>
      <c r="FV490" s="103" t="b">
        <f t="shared" si="4660"/>
        <v>1</v>
      </c>
      <c r="FW490" s="104" t="b">
        <f t="shared" si="4662"/>
        <v>0</v>
      </c>
      <c r="FX490" s="120" t="b">
        <f t="shared" si="4755"/>
        <v>1</v>
      </c>
      <c r="FY490" s="104" t="s">
        <v>491</v>
      </c>
      <c r="FZ490" s="104" t="b">
        <f t="shared" si="4756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57"/>
        <v>1</v>
      </c>
      <c r="GI490" s="8" t="b">
        <f t="shared" si="4758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741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742"/>
        <v>0</v>
      </c>
      <c r="AF491" s="95">
        <f t="shared" si="4743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744"/>
        <v>нет оборота</v>
      </c>
      <c r="AO491" s="130" t="str">
        <f t="shared" si="4745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746"/>
        <v>нет остатка</v>
      </c>
      <c r="AW491" s="149">
        <f t="shared" si="4747"/>
        <v>0</v>
      </c>
      <c r="AX491" s="144"/>
      <c r="AY491" s="146">
        <f t="shared" si="4748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49"/>
        <v>0</v>
      </c>
      <c r="BG491" s="32">
        <v>0</v>
      </c>
      <c r="BH491" s="32">
        <f t="shared" si="4750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51"/>
        <v>0</v>
      </c>
      <c r="BR491" s="95">
        <f t="shared" si="4752"/>
        <v>0</v>
      </c>
      <c r="BS491" s="133">
        <f t="shared" si="4723"/>
        <v>0</v>
      </c>
      <c r="BT491" s="133">
        <f t="shared" si="4723"/>
        <v>0</v>
      </c>
      <c r="BU491" s="133">
        <f t="shared" si="4723"/>
        <v>0</v>
      </c>
      <c r="BV491" s="133">
        <f t="shared" si="4723"/>
        <v>0</v>
      </c>
      <c r="BW491" s="133">
        <f t="shared" si="4723"/>
        <v>0</v>
      </c>
      <c r="BX491" s="133">
        <f t="shared" si="4753"/>
        <v>0</v>
      </c>
      <c r="BY491" s="133">
        <f t="shared" si="4753"/>
        <v>0</v>
      </c>
      <c r="BZ491" s="133">
        <f t="shared" si="4753"/>
        <v>0</v>
      </c>
      <c r="CA491" s="133">
        <f t="shared" ref="CA491:CO491" si="4761">BZ491-$BQ491</f>
        <v>0</v>
      </c>
      <c r="CB491" s="133">
        <f t="shared" si="4761"/>
        <v>0</v>
      </c>
      <c r="CC491" s="133">
        <f t="shared" si="4761"/>
        <v>0</v>
      </c>
      <c r="CD491" s="133">
        <f t="shared" si="4761"/>
        <v>0</v>
      </c>
      <c r="CE491" s="133">
        <f t="shared" si="4761"/>
        <v>0</v>
      </c>
      <c r="CF491" s="133">
        <f t="shared" si="4761"/>
        <v>0</v>
      </c>
      <c r="CG491" s="133">
        <f t="shared" si="4761"/>
        <v>0</v>
      </c>
      <c r="CH491" s="133">
        <f t="shared" si="4761"/>
        <v>0</v>
      </c>
      <c r="CI491" s="133">
        <f t="shared" si="4761"/>
        <v>0</v>
      </c>
      <c r="CJ491" s="133">
        <f t="shared" si="4761"/>
        <v>0</v>
      </c>
      <c r="CK491" s="133">
        <f t="shared" si="4761"/>
        <v>0</v>
      </c>
      <c r="CL491" s="133">
        <f t="shared" si="4761"/>
        <v>0</v>
      </c>
      <c r="CM491" s="133">
        <f t="shared" si="4761"/>
        <v>0</v>
      </c>
      <c r="CN491" s="133">
        <f t="shared" si="4761"/>
        <v>0</v>
      </c>
      <c r="CO491" s="133">
        <f t="shared" si="4761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735"/>
        <v>0</v>
      </c>
      <c r="DB491" s="4">
        <f t="shared" si="4736"/>
        <v>0</v>
      </c>
      <c r="DC491" s="4">
        <f t="shared" si="4737"/>
        <v>0</v>
      </c>
      <c r="DD491" s="136">
        <f t="shared" si="4738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740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 t="shared" si="4656"/>
        <v>0</v>
      </c>
      <c r="FS491" s="150" t="b">
        <f t="shared" si="4657"/>
        <v>0</v>
      </c>
      <c r="FT491" s="150" t="b">
        <f t="shared" si="4658"/>
        <v>0</v>
      </c>
      <c r="FU491" s="150" t="b">
        <f t="shared" si="4659"/>
        <v>0</v>
      </c>
      <c r="FV491" s="150" t="b">
        <f t="shared" si="4660"/>
        <v>1</v>
      </c>
      <c r="FW491" s="104" t="b">
        <f t="shared" si="4662"/>
        <v>0</v>
      </c>
      <c r="FX491" s="150" t="b">
        <f t="shared" si="4755"/>
        <v>1</v>
      </c>
      <c r="FY491" s="104" t="s">
        <v>491</v>
      </c>
      <c r="FZ491" s="104" t="b">
        <f t="shared" si="4756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57"/>
        <v>1</v>
      </c>
      <c r="GI491" s="151" t="b">
        <f t="shared" si="4758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741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742"/>
        <v>0</v>
      </c>
      <c r="AF492" s="95">
        <f t="shared" si="4743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744"/>
        <v>нет оборота</v>
      </c>
      <c r="AO492" s="133" t="str">
        <f t="shared" si="4745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746"/>
        <v>нет остатка</v>
      </c>
      <c r="AW492" s="117">
        <f t="shared" si="4747"/>
        <v>0</v>
      </c>
      <c r="AX492" s="14"/>
      <c r="AY492" s="25">
        <f t="shared" si="4748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49"/>
        <v>0</v>
      </c>
      <c r="BG492" s="32">
        <v>0</v>
      </c>
      <c r="BH492" s="32">
        <f t="shared" si="4750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51"/>
        <v>0</v>
      </c>
      <c r="BR492" s="95">
        <f t="shared" si="4752"/>
        <v>0</v>
      </c>
      <c r="BS492" s="133">
        <f t="shared" si="4723"/>
        <v>0</v>
      </c>
      <c r="BT492" s="133">
        <f t="shared" si="4723"/>
        <v>0</v>
      </c>
      <c r="BU492" s="133">
        <f t="shared" si="4723"/>
        <v>0</v>
      </c>
      <c r="BV492" s="133">
        <f t="shared" si="4723"/>
        <v>0</v>
      </c>
      <c r="BW492" s="133">
        <f t="shared" si="4723"/>
        <v>0</v>
      </c>
      <c r="BX492" s="133">
        <f t="shared" ref="BX492:CO494" si="4762">BW492-$BQ492</f>
        <v>0</v>
      </c>
      <c r="BY492" s="133">
        <f t="shared" si="4762"/>
        <v>0</v>
      </c>
      <c r="BZ492" s="133">
        <f t="shared" si="4762"/>
        <v>0</v>
      </c>
      <c r="CA492" s="133">
        <f t="shared" si="4762"/>
        <v>0</v>
      </c>
      <c r="CB492" s="133">
        <f t="shared" si="4762"/>
        <v>0</v>
      </c>
      <c r="CC492" s="133">
        <f t="shared" si="4762"/>
        <v>0</v>
      </c>
      <c r="CD492" s="133">
        <f t="shared" si="4762"/>
        <v>0</v>
      </c>
      <c r="CE492" s="133">
        <f t="shared" si="4762"/>
        <v>0</v>
      </c>
      <c r="CF492" s="133">
        <f t="shared" si="4762"/>
        <v>0</v>
      </c>
      <c r="CG492" s="133">
        <f t="shared" si="4762"/>
        <v>0</v>
      </c>
      <c r="CH492" s="133">
        <f t="shared" si="4762"/>
        <v>0</v>
      </c>
      <c r="CI492" s="133">
        <f t="shared" si="4762"/>
        <v>0</v>
      </c>
      <c r="CJ492" s="133">
        <f t="shared" si="4762"/>
        <v>0</v>
      </c>
      <c r="CK492" s="133">
        <f t="shared" si="4762"/>
        <v>0</v>
      </c>
      <c r="CL492" s="133">
        <f t="shared" si="4762"/>
        <v>0</v>
      </c>
      <c r="CM492" s="133">
        <f t="shared" si="4762"/>
        <v>0</v>
      </c>
      <c r="CN492" s="133">
        <f t="shared" si="4762"/>
        <v>0</v>
      </c>
      <c r="CO492" s="133">
        <f t="shared" si="4762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735"/>
        <v>0</v>
      </c>
      <c r="DB492" s="4">
        <f t="shared" si="4736"/>
        <v>0</v>
      </c>
      <c r="DC492" s="4">
        <f t="shared" si="4737"/>
        <v>0</v>
      </c>
      <c r="DD492" s="136">
        <f t="shared" si="4738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63">BK492*$FH492</f>
        <v>0</v>
      </c>
      <c r="EQ492" s="62">
        <f t="shared" si="4763"/>
        <v>0</v>
      </c>
      <c r="ER492" s="62">
        <f t="shared" si="4763"/>
        <v>0</v>
      </c>
      <c r="ES492" s="62">
        <f t="shared" si="4763"/>
        <v>0</v>
      </c>
      <c r="ET492" s="62">
        <f t="shared" si="4763"/>
        <v>0</v>
      </c>
      <c r="EU492" s="62">
        <f t="shared" si="4763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740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 t="shared" si="4656"/>
        <v>1</v>
      </c>
      <c r="FS492" s="103" t="b">
        <f t="shared" si="4657"/>
        <v>1</v>
      </c>
      <c r="FT492" s="103" t="b">
        <f t="shared" si="4658"/>
        <v>1</v>
      </c>
      <c r="FU492" s="103" t="b">
        <f t="shared" si="4659"/>
        <v>1</v>
      </c>
      <c r="FV492" s="103" t="b">
        <f t="shared" si="4660"/>
        <v>1</v>
      </c>
      <c r="FW492" s="104" t="b">
        <f t="shared" si="4662"/>
        <v>0</v>
      </c>
      <c r="FX492" s="120" t="b">
        <f t="shared" si="4755"/>
        <v>1</v>
      </c>
      <c r="FY492" s="104" t="s">
        <v>491</v>
      </c>
      <c r="FZ492" s="104" t="b">
        <f t="shared" si="4756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57"/>
        <v>1</v>
      </c>
      <c r="GI492" s="8" t="b">
        <f t="shared" si="4758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741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742"/>
        <v>0</v>
      </c>
      <c r="AF493" s="95">
        <f t="shared" si="4743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744"/>
        <v>нет оборота</v>
      </c>
      <c r="AO493" s="130" t="str">
        <f t="shared" si="4745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746"/>
        <v>нет остатка</v>
      </c>
      <c r="AW493" s="149">
        <f t="shared" si="4747"/>
        <v>0</v>
      </c>
      <c r="AX493" s="144"/>
      <c r="AY493" s="146">
        <f t="shared" si="4748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49"/>
        <v>0</v>
      </c>
      <c r="BG493" s="32">
        <v>0</v>
      </c>
      <c r="BH493" s="32">
        <f t="shared" si="4750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51"/>
        <v>0</v>
      </c>
      <c r="BR493" s="95">
        <f t="shared" si="4752"/>
        <v>0</v>
      </c>
      <c r="BS493" s="133">
        <f t="shared" si="4723"/>
        <v>0</v>
      </c>
      <c r="BT493" s="133">
        <f t="shared" si="4723"/>
        <v>0</v>
      </c>
      <c r="BU493" s="133">
        <f t="shared" si="4723"/>
        <v>0</v>
      </c>
      <c r="BV493" s="133">
        <f t="shared" si="4723"/>
        <v>0</v>
      </c>
      <c r="BW493" s="133">
        <f t="shared" si="4723"/>
        <v>0</v>
      </c>
      <c r="BX493" s="133">
        <f t="shared" si="4762"/>
        <v>0</v>
      </c>
      <c r="BY493" s="133">
        <f t="shared" si="4762"/>
        <v>0</v>
      </c>
      <c r="BZ493" s="133">
        <f t="shared" si="4762"/>
        <v>0</v>
      </c>
      <c r="CA493" s="133">
        <f t="shared" si="4762"/>
        <v>0</v>
      </c>
      <c r="CB493" s="133">
        <f t="shared" si="4762"/>
        <v>0</v>
      </c>
      <c r="CC493" s="133">
        <f t="shared" si="4762"/>
        <v>0</v>
      </c>
      <c r="CD493" s="133">
        <f t="shared" si="4762"/>
        <v>0</v>
      </c>
      <c r="CE493" s="133">
        <f t="shared" si="4762"/>
        <v>0</v>
      </c>
      <c r="CF493" s="133">
        <f t="shared" si="4762"/>
        <v>0</v>
      </c>
      <c r="CG493" s="133">
        <f t="shared" si="4762"/>
        <v>0</v>
      </c>
      <c r="CH493" s="133">
        <f t="shared" si="4762"/>
        <v>0</v>
      </c>
      <c r="CI493" s="133">
        <f t="shared" si="4762"/>
        <v>0</v>
      </c>
      <c r="CJ493" s="133">
        <f t="shared" si="4762"/>
        <v>0</v>
      </c>
      <c r="CK493" s="133">
        <f t="shared" si="4762"/>
        <v>0</v>
      </c>
      <c r="CL493" s="133">
        <f t="shared" si="4762"/>
        <v>0</v>
      </c>
      <c r="CM493" s="133">
        <f t="shared" si="4762"/>
        <v>0</v>
      </c>
      <c r="CN493" s="133">
        <f t="shared" si="4762"/>
        <v>0</v>
      </c>
      <c r="CO493" s="133">
        <f t="shared" si="4762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735"/>
        <v>0</v>
      </c>
      <c r="DB493" s="4">
        <f t="shared" si="4736"/>
        <v>0</v>
      </c>
      <c r="DC493" s="4">
        <f t="shared" si="4737"/>
        <v>0</v>
      </c>
      <c r="DD493" s="136">
        <f t="shared" si="4738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740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 t="shared" si="4656"/>
        <v>0</v>
      </c>
      <c r="FS493" s="150" t="b">
        <f t="shared" si="4657"/>
        <v>0</v>
      </c>
      <c r="FT493" s="150" t="b">
        <f t="shared" si="4658"/>
        <v>0</v>
      </c>
      <c r="FU493" s="150" t="b">
        <f t="shared" si="4659"/>
        <v>0</v>
      </c>
      <c r="FV493" s="150" t="b">
        <f t="shared" si="4660"/>
        <v>1</v>
      </c>
      <c r="FW493" s="104" t="b">
        <f t="shared" si="4662"/>
        <v>0</v>
      </c>
      <c r="FX493" s="150" t="b">
        <f t="shared" si="4755"/>
        <v>1</v>
      </c>
      <c r="FY493" s="104" t="s">
        <v>491</v>
      </c>
      <c r="FZ493" s="104" t="b">
        <f t="shared" si="4756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57"/>
        <v>1</v>
      </c>
      <c r="GI493" s="151" t="b">
        <f t="shared" si="4758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741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742"/>
        <v>0</v>
      </c>
      <c r="AF494" s="95">
        <f t="shared" si="4743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744"/>
        <v>нет оборота</v>
      </c>
      <c r="AO494" s="133" t="str">
        <f t="shared" si="4745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746"/>
        <v>нет остатка</v>
      </c>
      <c r="AW494" s="117">
        <f t="shared" si="4747"/>
        <v>0</v>
      </c>
      <c r="AX494" s="14"/>
      <c r="AY494" s="25">
        <f t="shared" si="4748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49"/>
        <v>0</v>
      </c>
      <c r="BG494" s="32">
        <v>0</v>
      </c>
      <c r="BH494" s="32">
        <f t="shared" si="4750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51"/>
        <v>0</v>
      </c>
      <c r="BR494" s="95">
        <f t="shared" si="4752"/>
        <v>0</v>
      </c>
      <c r="BS494" s="133">
        <f t="shared" si="4723"/>
        <v>0</v>
      </c>
      <c r="BT494" s="133">
        <f t="shared" si="4723"/>
        <v>0</v>
      </c>
      <c r="BU494" s="133">
        <f t="shared" si="4723"/>
        <v>0</v>
      </c>
      <c r="BV494" s="133">
        <f t="shared" si="4723"/>
        <v>0</v>
      </c>
      <c r="BW494" s="133">
        <f t="shared" si="4723"/>
        <v>0</v>
      </c>
      <c r="BX494" s="133">
        <f t="shared" si="4762"/>
        <v>0</v>
      </c>
      <c r="BY494" s="133">
        <f t="shared" si="4762"/>
        <v>0</v>
      </c>
      <c r="BZ494" s="133">
        <f t="shared" si="4762"/>
        <v>0</v>
      </c>
      <c r="CA494" s="133">
        <f t="shared" si="4762"/>
        <v>0</v>
      </c>
      <c r="CB494" s="133">
        <f t="shared" si="4762"/>
        <v>0</v>
      </c>
      <c r="CC494" s="133">
        <f t="shared" si="4762"/>
        <v>0</v>
      </c>
      <c r="CD494" s="133">
        <f t="shared" si="4762"/>
        <v>0</v>
      </c>
      <c r="CE494" s="133">
        <f t="shared" si="4762"/>
        <v>0</v>
      </c>
      <c r="CF494" s="133">
        <f t="shared" si="4762"/>
        <v>0</v>
      </c>
      <c r="CG494" s="133">
        <f t="shared" si="4762"/>
        <v>0</v>
      </c>
      <c r="CH494" s="133">
        <f t="shared" si="4762"/>
        <v>0</v>
      </c>
      <c r="CI494" s="133">
        <f t="shared" si="4762"/>
        <v>0</v>
      </c>
      <c r="CJ494" s="133">
        <f t="shared" si="4762"/>
        <v>0</v>
      </c>
      <c r="CK494" s="133">
        <f t="shared" si="4762"/>
        <v>0</v>
      </c>
      <c r="CL494" s="133">
        <f t="shared" si="4762"/>
        <v>0</v>
      </c>
      <c r="CM494" s="133">
        <f t="shared" si="4762"/>
        <v>0</v>
      </c>
      <c r="CN494" s="133">
        <f t="shared" si="4762"/>
        <v>0</v>
      </c>
      <c r="CO494" s="133">
        <f t="shared" si="4762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735"/>
        <v>0</v>
      </c>
      <c r="DB494" s="4">
        <f t="shared" si="4736"/>
        <v>0</v>
      </c>
      <c r="DC494" s="4">
        <f t="shared" si="4737"/>
        <v>0</v>
      </c>
      <c r="DD494" s="136">
        <f t="shared" si="4738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64">BK494*$FH494</f>
        <v>0</v>
      </c>
      <c r="EQ494" s="62">
        <f t="shared" si="4764"/>
        <v>0</v>
      </c>
      <c r="ER494" s="62">
        <f t="shared" si="4764"/>
        <v>0</v>
      </c>
      <c r="ES494" s="62">
        <f t="shared" si="4764"/>
        <v>0</v>
      </c>
      <c r="ET494" s="62">
        <f t="shared" si="4764"/>
        <v>0</v>
      </c>
      <c r="EU494" s="62">
        <f t="shared" si="4764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740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 t="shared" si="4656"/>
        <v>1</v>
      </c>
      <c r="FS494" s="103" t="b">
        <f t="shared" si="4657"/>
        <v>1</v>
      </c>
      <c r="FT494" s="103" t="b">
        <f t="shared" si="4658"/>
        <v>1</v>
      </c>
      <c r="FU494" s="103" t="b">
        <f t="shared" si="4659"/>
        <v>1</v>
      </c>
      <c r="FV494" s="103" t="b">
        <f t="shared" si="4660"/>
        <v>1</v>
      </c>
      <c r="FW494" s="104" t="b">
        <f t="shared" si="4662"/>
        <v>0</v>
      </c>
      <c r="FX494" s="120" t="b">
        <f t="shared" si="4755"/>
        <v>1</v>
      </c>
      <c r="FY494" s="104" t="s">
        <v>491</v>
      </c>
      <c r="FZ494" s="104" t="b">
        <f t="shared" si="4756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57"/>
        <v>1</v>
      </c>
      <c r="GI494" s="8" t="b">
        <f t="shared" si="4758"/>
        <v>0</v>
      </c>
      <c r="GJ494" s="31" t="s">
        <v>203</v>
      </c>
    </row>
    <row r="495" spans="1:192" hidden="1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65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66">Q495*FH495</f>
        <v>147441.03</v>
      </c>
      <c r="S495" s="114">
        <v>0</v>
      </c>
      <c r="T495" s="114">
        <v>0</v>
      </c>
      <c r="U495" s="131">
        <f t="shared" ref="U495:U502" si="4767">IFERROR(ROUNDUP(S495/$EX495,0)*$EY495,0)</f>
        <v>0</v>
      </c>
      <c r="V495" s="115">
        <f t="shared" ref="V495:V502" si="4768">SUM(Z495:AD495)</f>
        <v>3584</v>
      </c>
      <c r="W495" s="115">
        <f t="shared" ref="W495:W502" si="4769">V495*FH495</f>
        <v>146908.16</v>
      </c>
      <c r="X495" s="115">
        <f t="shared" ref="X495:X502" si="4770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71">AA495*FH495</f>
        <v>0</v>
      </c>
      <c r="AF495" s="95">
        <f t="shared" ref="AF495:AF499" si="4772">AB495*FH495</f>
        <v>0</v>
      </c>
      <c r="AG495" s="114">
        <v>0</v>
      </c>
      <c r="AH495" s="95">
        <f t="shared" ref="AH495:AH502" si="4773">V495-AG495</f>
        <v>3584</v>
      </c>
      <c r="AI495" s="114">
        <f t="shared" ref="AI495:AI502" si="4774">IF(AH495&gt;0,AH495*FH495,0)</f>
        <v>146908.16</v>
      </c>
      <c r="AJ495" s="114">
        <f t="shared" ref="AJ495:AJ502" si="4775">CU495</f>
        <v>426</v>
      </c>
      <c r="AK495" s="114">
        <f t="shared" ref="AK495:AK502" si="4776">SUM(CS495:CU495)</f>
        <v>3315</v>
      </c>
      <c r="AL495" s="114">
        <f t="shared" ref="AL495:AL502" si="4777">SUM(CP495:CU495)</f>
        <v>3315</v>
      </c>
      <c r="AM495" s="114">
        <f t="shared" ref="AM495:AM502" si="4778">SUM(BK495:BP495)</f>
        <v>10756</v>
      </c>
      <c r="AN495" s="133">
        <f t="shared" ref="AN495:AN499" si="4779">IFERROR(S495/BQ495*30,"нет оборота")</f>
        <v>0</v>
      </c>
      <c r="AO495" s="133" t="str">
        <f t="shared" ref="AO495:AO499" si="4780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81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82">IF(AT495="Да",W495,0)</f>
        <v>0</v>
      </c>
      <c r="AX495" s="138"/>
      <c r="AY495" s="115">
        <f t="shared" ref="AY495:AY499" si="4783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84">BE495*FH495</f>
        <v>0</v>
      </c>
      <c r="BG495" s="32">
        <v>0</v>
      </c>
      <c r="BH495" s="32">
        <f t="shared" ref="BH495:BH499" si="4785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86">IF(COUNTIF(BK495:BP495,"&gt;0")=0,0,SUM(BK495:BP495)/COUNTIF(BK495:BP495,"&gt;0"))</f>
        <v>1792.6666666666667</v>
      </c>
      <c r="BR495" s="95">
        <f t="shared" ref="BR495:BR499" si="4787">IF(OR(Q495=0,SUM(BK495:BP495)=0,V495&gt;Q495),V495-BK495,Q495-BK495)</f>
        <v>1597</v>
      </c>
      <c r="BS495" s="133">
        <f t="shared" ref="BS495:BW502" si="4788">BR495-BL495</f>
        <v>-1015</v>
      </c>
      <c r="BT495" s="133">
        <f t="shared" si="4788"/>
        <v>-2551</v>
      </c>
      <c r="BU495" s="133">
        <f t="shared" si="4788"/>
        <v>-4087</v>
      </c>
      <c r="BV495" s="133">
        <f t="shared" si="4788"/>
        <v>-5623</v>
      </c>
      <c r="BW495" s="133">
        <f t="shared" si="4788"/>
        <v>-7159</v>
      </c>
      <c r="BX495" s="133">
        <f t="shared" ref="BX495:CO502" si="4789">BW495-$BQ495</f>
        <v>-8951.6666666666661</v>
      </c>
      <c r="BY495" s="133">
        <f t="shared" si="4789"/>
        <v>-10744.333333333332</v>
      </c>
      <c r="BZ495" s="133">
        <f t="shared" si="4789"/>
        <v>-12536.999999999998</v>
      </c>
      <c r="CA495" s="133">
        <f t="shared" si="4789"/>
        <v>-14329.666666666664</v>
      </c>
      <c r="CB495" s="133">
        <f t="shared" si="4789"/>
        <v>-16122.33333333333</v>
      </c>
      <c r="CC495" s="133">
        <f t="shared" si="4789"/>
        <v>-17914.999999999996</v>
      </c>
      <c r="CD495" s="133">
        <f t="shared" si="4789"/>
        <v>-19707.666666666664</v>
      </c>
      <c r="CE495" s="133">
        <f t="shared" si="4789"/>
        <v>-21500.333333333332</v>
      </c>
      <c r="CF495" s="133">
        <f t="shared" si="4789"/>
        <v>-23293</v>
      </c>
      <c r="CG495" s="133">
        <f t="shared" si="4789"/>
        <v>-25085.666666666668</v>
      </c>
      <c r="CH495" s="133">
        <f t="shared" si="4789"/>
        <v>-26878.333333333336</v>
      </c>
      <c r="CI495" s="133">
        <f t="shared" si="4789"/>
        <v>-28671.000000000004</v>
      </c>
      <c r="CJ495" s="133">
        <f t="shared" si="4789"/>
        <v>-30463.666666666672</v>
      </c>
      <c r="CK495" s="133">
        <f t="shared" si="4789"/>
        <v>-32256.333333333339</v>
      </c>
      <c r="CL495" s="133">
        <f t="shared" si="4789"/>
        <v>-34049.000000000007</v>
      </c>
      <c r="CM495" s="133">
        <f t="shared" si="4789"/>
        <v>-35841.666666666672</v>
      </c>
      <c r="CN495" s="133">
        <f t="shared" si="4789"/>
        <v>-37634.333333333336</v>
      </c>
      <c r="CO495" s="133">
        <f t="shared" si="4789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90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91">IFERROR(CZ495/CY495,0)</f>
        <v>0</v>
      </c>
      <c r="DB495" s="4">
        <f t="shared" ref="DB495:DB496" si="4792">CY495*FH495</f>
        <v>0</v>
      </c>
      <c r="DC495" s="4">
        <f t="shared" ref="DC495:DC496" si="4793">CZ495*FH495</f>
        <v>0</v>
      </c>
      <c r="DD495" s="136">
        <f t="shared" ref="DD495:DD496" si="4794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95">IFERROR(ROUNDUP(DG495/$EX495,0)*$EY495,0)</f>
        <v>0</v>
      </c>
      <c r="DI495" s="62">
        <v>0</v>
      </c>
      <c r="DJ495" s="62">
        <v>0</v>
      </c>
      <c r="DK495" s="48">
        <f t="shared" ref="DK495:DK502" si="4796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97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98">IFERROR(ROUNDUP(DS495/$EX495,0)*$EY495,0)</f>
        <v>0</v>
      </c>
      <c r="DV495" s="62">
        <v>0</v>
      </c>
      <c r="DW495" s="62">
        <v>0</v>
      </c>
      <c r="DX495" s="62">
        <f t="shared" ref="DX495:DX502" si="4799">$DF495*BK495/30</f>
        <v>0</v>
      </c>
      <c r="DY495" s="62">
        <f t="shared" ref="DY495:DY502" si="4800">DX495*$FH495</f>
        <v>0</v>
      </c>
      <c r="DZ495" s="48">
        <f t="shared" ref="DZ495:DZ502" si="4801">IFERROR(ROUNDUP(DX495/$EX495,0)*$EY495,0)</f>
        <v>0</v>
      </c>
      <c r="EA495" s="62">
        <f t="shared" ref="EA495:EA502" si="4802">$DF495*BL495/30</f>
        <v>0</v>
      </c>
      <c r="EB495" s="62">
        <f t="shared" ref="EB495:EB502" si="4803">EA495*$FH495</f>
        <v>0</v>
      </c>
      <c r="EC495" s="48">
        <f t="shared" ref="EC495:EC502" si="4804">IFERROR(ROUNDUP(EA495/$EX495,0)*$EY495,0)</f>
        <v>0</v>
      </c>
      <c r="ED495" s="62">
        <f t="shared" ref="ED495:ED502" si="4805">$DF495*BM495/30</f>
        <v>0</v>
      </c>
      <c r="EE495" s="62">
        <f t="shared" ref="EE495:EE502" si="4806">ED495*$FH495</f>
        <v>0</v>
      </c>
      <c r="EF495" s="48">
        <f t="shared" ref="EF495:EF502" si="4807">IFERROR(ROUNDUP(ED495/$EX495,0)*$EY495,0)</f>
        <v>0</v>
      </c>
      <c r="EG495" s="62">
        <f t="shared" ref="EG495:EG502" si="4808">$DF495*BN495/30</f>
        <v>0</v>
      </c>
      <c r="EH495" s="62">
        <f t="shared" ref="EH495:EH502" si="4809">EG495*$FH495</f>
        <v>0</v>
      </c>
      <c r="EI495" s="48">
        <f t="shared" ref="EI495:EI502" si="4810">IFERROR(ROUNDUP(EG495/$EX495,0)*$EY495,0)</f>
        <v>0</v>
      </c>
      <c r="EJ495" s="62">
        <f t="shared" ref="EJ495:EJ502" si="4811">$DF495*BO495/30</f>
        <v>0</v>
      </c>
      <c r="EK495" s="62">
        <f t="shared" ref="EK495:EK502" si="4812">EJ495*$FH495</f>
        <v>0</v>
      </c>
      <c r="EL495" s="48">
        <f t="shared" ref="EL495:EL502" si="4813">IFERROR(ROUNDUP(EJ495/$EX495,0)*$EY495,0)</f>
        <v>0</v>
      </c>
      <c r="EM495" s="62">
        <f t="shared" ref="EM495:EM502" si="4814">$DF495*BP495/30</f>
        <v>0</v>
      </c>
      <c r="EN495" s="62">
        <f t="shared" ref="EN495:EN502" si="4815">EM495*$FH495</f>
        <v>0</v>
      </c>
      <c r="EO495" s="48">
        <f t="shared" ref="EO495:EO502" si="4816">IFERROR(ROUNDUP(EM495/$EX495,0)*$EY495,0)</f>
        <v>0</v>
      </c>
      <c r="EP495" s="62">
        <f t="shared" ref="EP495:EU502" si="4817">BK495*$FH495</f>
        <v>81980</v>
      </c>
      <c r="EQ495" s="62">
        <f t="shared" si="4817"/>
        <v>107065.88</v>
      </c>
      <c r="ER495" s="62">
        <f t="shared" si="4817"/>
        <v>62960.639999999999</v>
      </c>
      <c r="ES495" s="62">
        <f t="shared" si="4817"/>
        <v>62960.639999999999</v>
      </c>
      <c r="ET495" s="62">
        <f t="shared" si="4817"/>
        <v>62960.639999999999</v>
      </c>
      <c r="EU495" s="62">
        <f t="shared" si="4817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818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 t="shared" si="4656"/>
        <v>1</v>
      </c>
      <c r="FS495" s="120" t="b">
        <f t="shared" si="4657"/>
        <v>1</v>
      </c>
      <c r="FT495" s="120" t="b">
        <f t="shared" si="4658"/>
        <v>1</v>
      </c>
      <c r="FU495" s="120" t="b">
        <f t="shared" si="4659"/>
        <v>1</v>
      </c>
      <c r="FV495" s="120" t="b">
        <f t="shared" si="4660"/>
        <v>1</v>
      </c>
      <c r="FW495" s="104" t="b">
        <f t="shared" si="4662"/>
        <v>0</v>
      </c>
      <c r="FX495" s="120" t="b">
        <f t="shared" ref="FX495:FX499" si="4819">EXACT(FQ495,BI495)</f>
        <v>1</v>
      </c>
      <c r="FY495" s="104" t="s">
        <v>368</v>
      </c>
      <c r="FZ495" s="104" t="b">
        <f t="shared" ref="FZ495:FZ499" si="4820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821">EXACT(GD495,C495)</f>
        <v>1</v>
      </c>
      <c r="GI495" s="8" t="b">
        <f t="shared" ref="GI495:GI499" si="4822">EXACT(GG495,G495)</f>
        <v>0</v>
      </c>
      <c r="GJ495" s="31" t="s">
        <v>203</v>
      </c>
    </row>
    <row r="496" spans="1:192" hidden="1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65"/>
        <v>нет минмакс</v>
      </c>
      <c r="Q496" s="95">
        <v>0</v>
      </c>
      <c r="R496" s="95">
        <f t="shared" si="4766"/>
        <v>0</v>
      </c>
      <c r="S496" s="114">
        <v>0</v>
      </c>
      <c r="T496" s="114">
        <v>0</v>
      </c>
      <c r="U496" s="131">
        <f t="shared" si="4767"/>
        <v>0</v>
      </c>
      <c r="V496" s="115">
        <f t="shared" si="4768"/>
        <v>0</v>
      </c>
      <c r="W496" s="115">
        <f t="shared" si="4769"/>
        <v>0</v>
      </c>
      <c r="X496" s="115">
        <f t="shared" si="4770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71"/>
        <v>0</v>
      </c>
      <c r="AF496" s="95">
        <f t="shared" si="4772"/>
        <v>0</v>
      </c>
      <c r="AG496" s="114">
        <v>0</v>
      </c>
      <c r="AH496" s="95">
        <f t="shared" si="4773"/>
        <v>0</v>
      </c>
      <c r="AI496" s="114">
        <f t="shared" si="4774"/>
        <v>0</v>
      </c>
      <c r="AJ496" s="114">
        <f t="shared" si="4775"/>
        <v>0</v>
      </c>
      <c r="AK496" s="114">
        <f t="shared" si="4776"/>
        <v>0</v>
      </c>
      <c r="AL496" s="114">
        <f t="shared" si="4777"/>
        <v>0</v>
      </c>
      <c r="AM496" s="114">
        <f t="shared" si="4778"/>
        <v>173</v>
      </c>
      <c r="AN496" s="133">
        <f t="shared" si="4779"/>
        <v>0</v>
      </c>
      <c r="AO496" s="133" t="str">
        <f t="shared" si="4780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81"/>
        <v>нет остатка</v>
      </c>
      <c r="AW496" s="126">
        <f t="shared" si="4782"/>
        <v>0</v>
      </c>
      <c r="AX496" s="138"/>
      <c r="AY496" s="115">
        <f t="shared" si="4783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84"/>
        <v>0</v>
      </c>
      <c r="BG496" s="32">
        <v>0</v>
      </c>
      <c r="BH496" s="32">
        <f t="shared" si="4785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86"/>
        <v>173</v>
      </c>
      <c r="BR496" s="95">
        <f t="shared" si="4787"/>
        <v>0</v>
      </c>
      <c r="BS496" s="133">
        <f t="shared" si="4788"/>
        <v>0</v>
      </c>
      <c r="BT496" s="133">
        <f t="shared" si="4788"/>
        <v>0</v>
      </c>
      <c r="BU496" s="133">
        <f t="shared" si="4788"/>
        <v>0</v>
      </c>
      <c r="BV496" s="133">
        <f t="shared" si="4788"/>
        <v>0</v>
      </c>
      <c r="BW496" s="133">
        <f t="shared" si="4788"/>
        <v>-173</v>
      </c>
      <c r="BX496" s="133">
        <f t="shared" si="4789"/>
        <v>-346</v>
      </c>
      <c r="BY496" s="133">
        <f t="shared" si="4789"/>
        <v>-519</v>
      </c>
      <c r="BZ496" s="133">
        <f t="shared" si="4789"/>
        <v>-692</v>
      </c>
      <c r="CA496" s="133">
        <f t="shared" si="4789"/>
        <v>-865</v>
      </c>
      <c r="CB496" s="133">
        <f t="shared" si="4789"/>
        <v>-1038</v>
      </c>
      <c r="CC496" s="133">
        <f t="shared" si="4789"/>
        <v>-1211</v>
      </c>
      <c r="CD496" s="133">
        <f t="shared" si="4789"/>
        <v>-1384</v>
      </c>
      <c r="CE496" s="133">
        <f t="shared" si="4789"/>
        <v>-1557</v>
      </c>
      <c r="CF496" s="133">
        <f t="shared" si="4789"/>
        <v>-1730</v>
      </c>
      <c r="CG496" s="133">
        <f t="shared" si="4789"/>
        <v>-1903</v>
      </c>
      <c r="CH496" s="133">
        <f t="shared" si="4789"/>
        <v>-2076</v>
      </c>
      <c r="CI496" s="133">
        <f t="shared" si="4789"/>
        <v>-2249</v>
      </c>
      <c r="CJ496" s="133">
        <f t="shared" si="4789"/>
        <v>-2422</v>
      </c>
      <c r="CK496" s="133">
        <f t="shared" si="4789"/>
        <v>-2595</v>
      </c>
      <c r="CL496" s="133">
        <f t="shared" si="4789"/>
        <v>-2768</v>
      </c>
      <c r="CM496" s="133">
        <f t="shared" si="4789"/>
        <v>-2941</v>
      </c>
      <c r="CN496" s="133">
        <f t="shared" si="4789"/>
        <v>-3114</v>
      </c>
      <c r="CO496" s="133">
        <f t="shared" si="4789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90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91"/>
        <v>0</v>
      </c>
      <c r="DB496" s="4">
        <f t="shared" si="4792"/>
        <v>0</v>
      </c>
      <c r="DC496" s="4">
        <f t="shared" si="4793"/>
        <v>0</v>
      </c>
      <c r="DD496" s="136">
        <f t="shared" si="4794"/>
        <v>0</v>
      </c>
      <c r="DE496" s="31">
        <v>0</v>
      </c>
      <c r="DF496" s="31">
        <v>0</v>
      </c>
      <c r="DG496" s="31">
        <v>0</v>
      </c>
      <c r="DH496" s="48">
        <f t="shared" si="4795"/>
        <v>0</v>
      </c>
      <c r="DI496" s="62">
        <v>0</v>
      </c>
      <c r="DJ496" s="62">
        <v>0</v>
      </c>
      <c r="DK496" s="48">
        <f t="shared" si="4796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97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98"/>
        <v>0</v>
      </c>
      <c r="DV496" s="62">
        <v>0</v>
      </c>
      <c r="DW496" s="62">
        <v>0</v>
      </c>
      <c r="DX496" s="62">
        <f t="shared" si="4799"/>
        <v>0</v>
      </c>
      <c r="DY496" s="62">
        <f t="shared" si="4800"/>
        <v>0</v>
      </c>
      <c r="DZ496" s="48">
        <f t="shared" si="4801"/>
        <v>0</v>
      </c>
      <c r="EA496" s="62">
        <f t="shared" si="4802"/>
        <v>0</v>
      </c>
      <c r="EB496" s="62">
        <f t="shared" si="4803"/>
        <v>0</v>
      </c>
      <c r="EC496" s="48">
        <f t="shared" si="4804"/>
        <v>0</v>
      </c>
      <c r="ED496" s="62">
        <f t="shared" si="4805"/>
        <v>0</v>
      </c>
      <c r="EE496" s="62">
        <f t="shared" si="4806"/>
        <v>0</v>
      </c>
      <c r="EF496" s="48">
        <f t="shared" si="4807"/>
        <v>0</v>
      </c>
      <c r="EG496" s="62">
        <f t="shared" si="4808"/>
        <v>0</v>
      </c>
      <c r="EH496" s="62">
        <f t="shared" si="4809"/>
        <v>0</v>
      </c>
      <c r="EI496" s="48">
        <f t="shared" si="4810"/>
        <v>0</v>
      </c>
      <c r="EJ496" s="62">
        <f t="shared" si="4811"/>
        <v>0</v>
      </c>
      <c r="EK496" s="62">
        <f t="shared" si="4812"/>
        <v>0</v>
      </c>
      <c r="EL496" s="48">
        <f t="shared" si="4813"/>
        <v>0</v>
      </c>
      <c r="EM496" s="62">
        <f t="shared" si="4814"/>
        <v>0</v>
      </c>
      <c r="EN496" s="62">
        <f t="shared" si="4815"/>
        <v>0</v>
      </c>
      <c r="EO496" s="48">
        <f t="shared" si="4816"/>
        <v>0</v>
      </c>
      <c r="EP496" s="62">
        <f t="shared" si="4817"/>
        <v>0</v>
      </c>
      <c r="EQ496" s="62">
        <f t="shared" si="4817"/>
        <v>0</v>
      </c>
      <c r="ER496" s="62">
        <f t="shared" si="4817"/>
        <v>0</v>
      </c>
      <c r="ES496" s="62">
        <f t="shared" si="4817"/>
        <v>0</v>
      </c>
      <c r="ET496" s="62">
        <f t="shared" si="4817"/>
        <v>0</v>
      </c>
      <c r="EU496" s="62">
        <f t="shared" si="4817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818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 t="shared" si="4656"/>
        <v>1</v>
      </c>
      <c r="FS496" s="120" t="b">
        <f t="shared" si="4657"/>
        <v>1</v>
      </c>
      <c r="FT496" s="120" t="b">
        <f t="shared" si="4658"/>
        <v>1</v>
      </c>
      <c r="FU496" s="120" t="b">
        <f t="shared" si="4659"/>
        <v>1</v>
      </c>
      <c r="FV496" s="120" t="b">
        <f t="shared" si="4660"/>
        <v>1</v>
      </c>
      <c r="FW496" s="104" t="b">
        <f t="shared" si="4662"/>
        <v>0</v>
      </c>
      <c r="FX496" s="120" t="b">
        <f t="shared" si="4819"/>
        <v>1</v>
      </c>
      <c r="FY496" s="104" t="s">
        <v>368</v>
      </c>
      <c r="FZ496" s="104" t="b">
        <f t="shared" si="4820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821"/>
        <v>1</v>
      </c>
      <c r="GI496" s="8" t="b">
        <f t="shared" si="4822"/>
        <v>0</v>
      </c>
      <c r="GJ496" s="31" t="s">
        <v>203</v>
      </c>
    </row>
    <row r="497" spans="1:192" hidden="1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65"/>
        <v>нет минмакс</v>
      </c>
      <c r="Q497" s="95">
        <v>1802</v>
      </c>
      <c r="R497" s="95">
        <f t="shared" si="4766"/>
        <v>2594.88</v>
      </c>
      <c r="S497" s="114">
        <v>0</v>
      </c>
      <c r="T497" s="114">
        <v>0</v>
      </c>
      <c r="U497" s="131">
        <f t="shared" si="4767"/>
        <v>0</v>
      </c>
      <c r="V497" s="115">
        <f t="shared" si="4768"/>
        <v>9712</v>
      </c>
      <c r="W497" s="115">
        <f t="shared" si="4769"/>
        <v>13985.279999999999</v>
      </c>
      <c r="X497" s="115">
        <f t="shared" si="4770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71"/>
        <v>0</v>
      </c>
      <c r="AF497" s="95">
        <f t="shared" si="4772"/>
        <v>0</v>
      </c>
      <c r="AG497" s="114">
        <v>0</v>
      </c>
      <c r="AH497" s="95">
        <f t="shared" si="4773"/>
        <v>9712</v>
      </c>
      <c r="AI497" s="114">
        <f t="shared" si="4774"/>
        <v>13985.279999999999</v>
      </c>
      <c r="AJ497" s="114">
        <f t="shared" si="4775"/>
        <v>0</v>
      </c>
      <c r="AK497" s="114">
        <f t="shared" si="4776"/>
        <v>5201</v>
      </c>
      <c r="AL497" s="114">
        <f t="shared" si="4777"/>
        <v>9348</v>
      </c>
      <c r="AM497" s="114">
        <f t="shared" si="4778"/>
        <v>10834</v>
      </c>
      <c r="AN497" s="133">
        <f t="shared" si="4779"/>
        <v>0</v>
      </c>
      <c r="AO497" s="133" t="str">
        <f t="shared" si="4780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81"/>
        <v>0-02</v>
      </c>
      <c r="AW497" s="126">
        <f t="shared" si="4782"/>
        <v>0</v>
      </c>
      <c r="AX497" s="138"/>
      <c r="AY497" s="115">
        <f t="shared" si="4783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84"/>
        <v>0</v>
      </c>
      <c r="BG497" s="32">
        <v>0</v>
      </c>
      <c r="BH497" s="32">
        <f t="shared" si="4785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86"/>
        <v>3611.3333333333335</v>
      </c>
      <c r="BR497" s="95">
        <f t="shared" si="4787"/>
        <v>4672</v>
      </c>
      <c r="BS497" s="133">
        <f t="shared" si="4788"/>
        <v>-368</v>
      </c>
      <c r="BT497" s="133">
        <f t="shared" si="4788"/>
        <v>-368</v>
      </c>
      <c r="BU497" s="133">
        <f t="shared" si="4788"/>
        <v>-1122</v>
      </c>
      <c r="BV497" s="133">
        <f t="shared" si="4788"/>
        <v>-1122</v>
      </c>
      <c r="BW497" s="133">
        <f t="shared" si="4788"/>
        <v>-1122</v>
      </c>
      <c r="BX497" s="133">
        <f t="shared" si="4789"/>
        <v>-4733.3333333333339</v>
      </c>
      <c r="BY497" s="133">
        <f t="shared" si="4789"/>
        <v>-8344.6666666666679</v>
      </c>
      <c r="BZ497" s="133">
        <f t="shared" si="4789"/>
        <v>-11956.000000000002</v>
      </c>
      <c r="CA497" s="133">
        <f t="shared" si="4789"/>
        <v>-15567.333333333336</v>
      </c>
      <c r="CB497" s="133">
        <f t="shared" si="4789"/>
        <v>-19178.666666666668</v>
      </c>
      <c r="CC497" s="133">
        <f t="shared" si="4789"/>
        <v>-22790</v>
      </c>
      <c r="CD497" s="133">
        <f t="shared" si="4789"/>
        <v>-26401.333333333332</v>
      </c>
      <c r="CE497" s="133">
        <f t="shared" si="4789"/>
        <v>-30012.666666666664</v>
      </c>
      <c r="CF497" s="133">
        <f t="shared" si="4789"/>
        <v>-33624</v>
      </c>
      <c r="CG497" s="133">
        <f t="shared" si="4789"/>
        <v>-37235.333333333336</v>
      </c>
      <c r="CH497" s="133">
        <f t="shared" si="4789"/>
        <v>-40846.666666666672</v>
      </c>
      <c r="CI497" s="133">
        <f t="shared" si="4789"/>
        <v>-44458.000000000007</v>
      </c>
      <c r="CJ497" s="133">
        <f t="shared" si="4789"/>
        <v>-48069.333333333343</v>
      </c>
      <c r="CK497" s="133">
        <f t="shared" si="4789"/>
        <v>-51680.666666666679</v>
      </c>
      <c r="CL497" s="133">
        <f t="shared" si="4789"/>
        <v>-55292.000000000015</v>
      </c>
      <c r="CM497" s="133">
        <f t="shared" si="4789"/>
        <v>-58903.33333333335</v>
      </c>
      <c r="CN497" s="133">
        <f t="shared" si="4789"/>
        <v>-62514.666666666686</v>
      </c>
      <c r="CO497" s="133">
        <f t="shared" si="4789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90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823">IFERROR(CZ497/CY497,0)</f>
        <v>0</v>
      </c>
      <c r="DB497" s="4">
        <f t="shared" ref="DB497:DB502" si="4824">CY497*FH497</f>
        <v>0</v>
      </c>
      <c r="DC497" s="4">
        <f t="shared" ref="DC497:DC502" si="4825">CZ497*FH497</f>
        <v>0</v>
      </c>
      <c r="DD497" s="136">
        <f t="shared" ref="DD497:DD502" si="4826">IFERROR(DC497/DB497,0)</f>
        <v>0</v>
      </c>
      <c r="DE497" s="31">
        <v>0</v>
      </c>
      <c r="DF497" s="31">
        <v>0</v>
      </c>
      <c r="DG497" s="31">
        <v>0</v>
      </c>
      <c r="DH497" s="48">
        <f t="shared" si="4795"/>
        <v>0</v>
      </c>
      <c r="DI497" s="62">
        <v>2183.7089999999998</v>
      </c>
      <c r="DJ497" s="62">
        <v>2787.68</v>
      </c>
      <c r="DK497" s="48">
        <f t="shared" si="4796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97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98"/>
        <v>1</v>
      </c>
      <c r="DV497" s="62">
        <v>303</v>
      </c>
      <c r="DW497" s="62">
        <v>386.81</v>
      </c>
      <c r="DX497" s="62">
        <f t="shared" si="4799"/>
        <v>0</v>
      </c>
      <c r="DY497" s="62">
        <f t="shared" si="4800"/>
        <v>0</v>
      </c>
      <c r="DZ497" s="48">
        <f t="shared" si="4801"/>
        <v>0</v>
      </c>
      <c r="EA497" s="62">
        <f t="shared" si="4802"/>
        <v>0</v>
      </c>
      <c r="EB497" s="62">
        <f t="shared" si="4803"/>
        <v>0</v>
      </c>
      <c r="EC497" s="48">
        <f t="shared" si="4804"/>
        <v>0</v>
      </c>
      <c r="ED497" s="62">
        <f t="shared" si="4805"/>
        <v>0</v>
      </c>
      <c r="EE497" s="62">
        <f t="shared" si="4806"/>
        <v>0</v>
      </c>
      <c r="EF497" s="48">
        <f t="shared" si="4807"/>
        <v>0</v>
      </c>
      <c r="EG497" s="62">
        <f t="shared" si="4808"/>
        <v>0</v>
      </c>
      <c r="EH497" s="62">
        <f t="shared" si="4809"/>
        <v>0</v>
      </c>
      <c r="EI497" s="48">
        <f t="shared" si="4810"/>
        <v>0</v>
      </c>
      <c r="EJ497" s="62">
        <f t="shared" si="4811"/>
        <v>0</v>
      </c>
      <c r="EK497" s="62">
        <f t="shared" si="4812"/>
        <v>0</v>
      </c>
      <c r="EL497" s="48">
        <f t="shared" si="4813"/>
        <v>0</v>
      </c>
      <c r="EM497" s="62">
        <f t="shared" si="4814"/>
        <v>0</v>
      </c>
      <c r="EN497" s="62">
        <f t="shared" si="4815"/>
        <v>0</v>
      </c>
      <c r="EO497" s="48">
        <f t="shared" si="4816"/>
        <v>0</v>
      </c>
      <c r="EP497" s="62">
        <f t="shared" si="4817"/>
        <v>7257.5999999999995</v>
      </c>
      <c r="EQ497" s="62">
        <f t="shared" si="4817"/>
        <v>7257.5999999999995</v>
      </c>
      <c r="ER497" s="62">
        <f t="shared" si="4817"/>
        <v>0</v>
      </c>
      <c r="ES497" s="62">
        <f t="shared" si="4817"/>
        <v>1085.76</v>
      </c>
      <c r="ET497" s="62">
        <f t="shared" si="4817"/>
        <v>0</v>
      </c>
      <c r="EU497" s="62">
        <f t="shared" si="4817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827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 t="shared" si="4656"/>
        <v>1</v>
      </c>
      <c r="FS497" s="120" t="b">
        <f t="shared" si="4657"/>
        <v>1</v>
      </c>
      <c r="FT497" s="120" t="b">
        <f t="shared" si="4658"/>
        <v>1</v>
      </c>
      <c r="FU497" s="120" t="b">
        <f t="shared" si="4659"/>
        <v>1</v>
      </c>
      <c r="FV497" s="120" t="b">
        <f t="shared" si="4660"/>
        <v>1</v>
      </c>
      <c r="FW497" s="104" t="b">
        <f t="shared" si="4662"/>
        <v>0</v>
      </c>
      <c r="FX497" s="120" t="b">
        <f t="shared" si="4819"/>
        <v>1</v>
      </c>
      <c r="FY497" s="104" t="s">
        <v>368</v>
      </c>
      <c r="FZ497" s="104" t="b">
        <f t="shared" si="4820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821"/>
        <v>1</v>
      </c>
      <c r="GI497" s="8" t="b">
        <f t="shared" si="4822"/>
        <v>0</v>
      </c>
      <c r="GJ497" s="31" t="s">
        <v>203</v>
      </c>
    </row>
    <row r="498" spans="1:192" hidden="1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65"/>
        <v>нет минмакс</v>
      </c>
      <c r="Q498" s="95">
        <v>0</v>
      </c>
      <c r="R498" s="95">
        <f t="shared" si="4766"/>
        <v>0</v>
      </c>
      <c r="S498" s="114">
        <v>0</v>
      </c>
      <c r="T498" s="114">
        <v>0</v>
      </c>
      <c r="U498" s="131">
        <f t="shared" si="4767"/>
        <v>0</v>
      </c>
      <c r="V498" s="115">
        <f t="shared" si="4768"/>
        <v>0</v>
      </c>
      <c r="W498" s="115">
        <f t="shared" si="4769"/>
        <v>0</v>
      </c>
      <c r="X498" s="115">
        <f t="shared" si="4770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71"/>
        <v>0</v>
      </c>
      <c r="AF498" s="95">
        <f t="shared" si="4772"/>
        <v>0</v>
      </c>
      <c r="AG498" s="114">
        <v>0</v>
      </c>
      <c r="AH498" s="95">
        <f t="shared" si="4773"/>
        <v>0</v>
      </c>
      <c r="AI498" s="114">
        <f t="shared" si="4774"/>
        <v>0</v>
      </c>
      <c r="AJ498" s="114">
        <f t="shared" si="4775"/>
        <v>0</v>
      </c>
      <c r="AK498" s="114">
        <f t="shared" si="4776"/>
        <v>0</v>
      </c>
      <c r="AL498" s="114">
        <f t="shared" si="4777"/>
        <v>334</v>
      </c>
      <c r="AM498" s="114">
        <f t="shared" si="4778"/>
        <v>315</v>
      </c>
      <c r="AN498" s="133">
        <f t="shared" si="4779"/>
        <v>0</v>
      </c>
      <c r="AO498" s="133" t="str">
        <f t="shared" si="4780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81"/>
        <v>нет остатка</v>
      </c>
      <c r="AW498" s="126">
        <f t="shared" si="4782"/>
        <v>0</v>
      </c>
      <c r="AX498" s="138"/>
      <c r="AY498" s="115">
        <f t="shared" si="4783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84"/>
        <v>0</v>
      </c>
      <c r="BG498" s="32">
        <v>0</v>
      </c>
      <c r="BH498" s="32">
        <f t="shared" si="4785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86"/>
        <v>315</v>
      </c>
      <c r="BR498" s="95">
        <f t="shared" si="4787"/>
        <v>0</v>
      </c>
      <c r="BS498" s="133">
        <f t="shared" si="4788"/>
        <v>0</v>
      </c>
      <c r="BT498" s="133">
        <f t="shared" si="4788"/>
        <v>-315</v>
      </c>
      <c r="BU498" s="133">
        <f t="shared" si="4788"/>
        <v>-315</v>
      </c>
      <c r="BV498" s="133">
        <f t="shared" si="4788"/>
        <v>-315</v>
      </c>
      <c r="BW498" s="133">
        <f t="shared" si="4788"/>
        <v>-315</v>
      </c>
      <c r="BX498" s="133">
        <f t="shared" si="4789"/>
        <v>-630</v>
      </c>
      <c r="BY498" s="133">
        <f t="shared" si="4789"/>
        <v>-945</v>
      </c>
      <c r="BZ498" s="133">
        <f t="shared" si="4789"/>
        <v>-1260</v>
      </c>
      <c r="CA498" s="133">
        <f t="shared" si="4789"/>
        <v>-1575</v>
      </c>
      <c r="CB498" s="133">
        <f t="shared" si="4789"/>
        <v>-1890</v>
      </c>
      <c r="CC498" s="133">
        <f t="shared" si="4789"/>
        <v>-2205</v>
      </c>
      <c r="CD498" s="133">
        <f t="shared" si="4789"/>
        <v>-2520</v>
      </c>
      <c r="CE498" s="133">
        <f t="shared" si="4789"/>
        <v>-2835</v>
      </c>
      <c r="CF498" s="133">
        <f t="shared" si="4789"/>
        <v>-3150</v>
      </c>
      <c r="CG498" s="133">
        <f t="shared" si="4789"/>
        <v>-3465</v>
      </c>
      <c r="CH498" s="133">
        <f t="shared" si="4789"/>
        <v>-3780</v>
      </c>
      <c r="CI498" s="133">
        <f t="shared" si="4789"/>
        <v>-4095</v>
      </c>
      <c r="CJ498" s="133">
        <f t="shared" si="4789"/>
        <v>-4410</v>
      </c>
      <c r="CK498" s="133">
        <f t="shared" si="4789"/>
        <v>-4725</v>
      </c>
      <c r="CL498" s="133">
        <f t="shared" si="4789"/>
        <v>-5040</v>
      </c>
      <c r="CM498" s="133">
        <f t="shared" si="4789"/>
        <v>-5355</v>
      </c>
      <c r="CN498" s="133">
        <f t="shared" si="4789"/>
        <v>-5670</v>
      </c>
      <c r="CO498" s="133">
        <f t="shared" si="4789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90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823"/>
        <v>0</v>
      </c>
      <c r="DB498" s="4">
        <f t="shared" si="4824"/>
        <v>0</v>
      </c>
      <c r="DC498" s="4">
        <f t="shared" si="4825"/>
        <v>0</v>
      </c>
      <c r="DD498" s="136">
        <f t="shared" si="4826"/>
        <v>0</v>
      </c>
      <c r="DE498" s="31">
        <v>0</v>
      </c>
      <c r="DF498" s="31">
        <v>0</v>
      </c>
      <c r="DG498" s="31">
        <v>0</v>
      </c>
      <c r="DH498" s="48">
        <f t="shared" si="4795"/>
        <v>0</v>
      </c>
      <c r="DI498" s="62">
        <v>81.259</v>
      </c>
      <c r="DJ498" s="62">
        <v>388.32299999999998</v>
      </c>
      <c r="DK498" s="48">
        <f t="shared" si="4796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97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98"/>
        <v>0</v>
      </c>
      <c r="DV498" s="62">
        <v>0</v>
      </c>
      <c r="DW498" s="62">
        <v>0</v>
      </c>
      <c r="DX498" s="62">
        <f t="shared" si="4799"/>
        <v>0</v>
      </c>
      <c r="DY498" s="62">
        <f t="shared" si="4800"/>
        <v>0</v>
      </c>
      <c r="DZ498" s="48">
        <f t="shared" si="4801"/>
        <v>0</v>
      </c>
      <c r="EA498" s="62">
        <f t="shared" si="4802"/>
        <v>0</v>
      </c>
      <c r="EB498" s="62">
        <f t="shared" si="4803"/>
        <v>0</v>
      </c>
      <c r="EC498" s="48">
        <f t="shared" si="4804"/>
        <v>0</v>
      </c>
      <c r="ED498" s="62">
        <f t="shared" si="4805"/>
        <v>0</v>
      </c>
      <c r="EE498" s="62">
        <f t="shared" si="4806"/>
        <v>0</v>
      </c>
      <c r="EF498" s="48">
        <f t="shared" si="4807"/>
        <v>0</v>
      </c>
      <c r="EG498" s="62">
        <f t="shared" si="4808"/>
        <v>0</v>
      </c>
      <c r="EH498" s="62">
        <f t="shared" si="4809"/>
        <v>0</v>
      </c>
      <c r="EI498" s="48">
        <f t="shared" si="4810"/>
        <v>0</v>
      </c>
      <c r="EJ498" s="62">
        <f t="shared" si="4811"/>
        <v>0</v>
      </c>
      <c r="EK498" s="62">
        <f t="shared" si="4812"/>
        <v>0</v>
      </c>
      <c r="EL498" s="48">
        <f t="shared" si="4813"/>
        <v>0</v>
      </c>
      <c r="EM498" s="62">
        <f t="shared" si="4814"/>
        <v>0</v>
      </c>
      <c r="EN498" s="62">
        <f t="shared" si="4815"/>
        <v>0</v>
      </c>
      <c r="EO498" s="48">
        <f t="shared" si="4816"/>
        <v>0</v>
      </c>
      <c r="EP498" s="62">
        <f t="shared" si="4817"/>
        <v>0</v>
      </c>
      <c r="EQ498" s="62">
        <f t="shared" si="4817"/>
        <v>0</v>
      </c>
      <c r="ER498" s="62">
        <f t="shared" si="4817"/>
        <v>1505.7</v>
      </c>
      <c r="ES498" s="62">
        <f t="shared" si="4817"/>
        <v>0</v>
      </c>
      <c r="ET498" s="62">
        <f t="shared" si="4817"/>
        <v>0</v>
      </c>
      <c r="EU498" s="62">
        <f t="shared" si="4817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827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 t="shared" si="4656"/>
        <v>1</v>
      </c>
      <c r="FS498" s="120" t="b">
        <f t="shared" si="4657"/>
        <v>1</v>
      </c>
      <c r="FT498" s="120" t="b">
        <f t="shared" si="4658"/>
        <v>1</v>
      </c>
      <c r="FU498" s="120" t="b">
        <f t="shared" si="4659"/>
        <v>1</v>
      </c>
      <c r="FV498" s="120" t="b">
        <f t="shared" si="4660"/>
        <v>1</v>
      </c>
      <c r="FW498" s="104" t="b">
        <f t="shared" si="4662"/>
        <v>0</v>
      </c>
      <c r="FX498" s="120" t="b">
        <f t="shared" si="4819"/>
        <v>1</v>
      </c>
      <c r="FY498" s="104" t="s">
        <v>368</v>
      </c>
      <c r="FZ498" s="104" t="b">
        <f t="shared" si="4820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821"/>
        <v>1</v>
      </c>
      <c r="GI498" s="8" t="b">
        <f t="shared" si="4822"/>
        <v>0</v>
      </c>
      <c r="GJ498" s="31" t="s">
        <v>203</v>
      </c>
    </row>
    <row r="499" spans="1:192" hidden="1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65"/>
        <v>нет минмакс</v>
      </c>
      <c r="Q499" s="95">
        <v>0</v>
      </c>
      <c r="R499" s="95">
        <f t="shared" si="4766"/>
        <v>0</v>
      </c>
      <c r="S499" s="114">
        <v>0</v>
      </c>
      <c r="T499" s="114">
        <v>0</v>
      </c>
      <c r="U499" s="131">
        <f t="shared" si="4767"/>
        <v>0</v>
      </c>
      <c r="V499" s="115">
        <f t="shared" si="4768"/>
        <v>0</v>
      </c>
      <c r="W499" s="115">
        <f t="shared" si="4769"/>
        <v>0</v>
      </c>
      <c r="X499" s="115">
        <f t="shared" si="4770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71"/>
        <v>0</v>
      </c>
      <c r="AF499" s="95">
        <f t="shared" si="4772"/>
        <v>0</v>
      </c>
      <c r="AG499" s="114">
        <v>0</v>
      </c>
      <c r="AH499" s="95">
        <f t="shared" si="4773"/>
        <v>0</v>
      </c>
      <c r="AI499" s="114">
        <f t="shared" si="4774"/>
        <v>0</v>
      </c>
      <c r="AJ499" s="114">
        <f t="shared" si="4775"/>
        <v>0</v>
      </c>
      <c r="AK499" s="114">
        <f t="shared" si="4776"/>
        <v>0</v>
      </c>
      <c r="AL499" s="114">
        <f t="shared" si="4777"/>
        <v>0</v>
      </c>
      <c r="AM499" s="114">
        <f t="shared" si="4778"/>
        <v>173</v>
      </c>
      <c r="AN499" s="133">
        <f t="shared" si="4779"/>
        <v>0</v>
      </c>
      <c r="AO499" s="133" t="str">
        <f t="shared" si="4780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81"/>
        <v>нет остатка</v>
      </c>
      <c r="AW499" s="126">
        <f t="shared" si="4782"/>
        <v>0</v>
      </c>
      <c r="AX499" s="138"/>
      <c r="AY499" s="115">
        <f t="shared" si="4783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84"/>
        <v>0</v>
      </c>
      <c r="BG499" s="32">
        <v>0</v>
      </c>
      <c r="BH499" s="32">
        <f t="shared" si="4785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86"/>
        <v>173</v>
      </c>
      <c r="BR499" s="95">
        <f t="shared" si="4787"/>
        <v>0</v>
      </c>
      <c r="BS499" s="133">
        <f t="shared" si="4788"/>
        <v>0</v>
      </c>
      <c r="BT499" s="133">
        <f t="shared" si="4788"/>
        <v>0</v>
      </c>
      <c r="BU499" s="133">
        <f t="shared" si="4788"/>
        <v>0</v>
      </c>
      <c r="BV499" s="133">
        <f t="shared" si="4788"/>
        <v>0</v>
      </c>
      <c r="BW499" s="133">
        <f t="shared" si="4788"/>
        <v>-173</v>
      </c>
      <c r="BX499" s="133">
        <f t="shared" si="4789"/>
        <v>-346</v>
      </c>
      <c r="BY499" s="133">
        <f t="shared" si="4789"/>
        <v>-519</v>
      </c>
      <c r="BZ499" s="133">
        <f t="shared" si="4789"/>
        <v>-692</v>
      </c>
      <c r="CA499" s="133">
        <f t="shared" si="4789"/>
        <v>-865</v>
      </c>
      <c r="CB499" s="133">
        <f t="shared" si="4789"/>
        <v>-1038</v>
      </c>
      <c r="CC499" s="133">
        <f t="shared" si="4789"/>
        <v>-1211</v>
      </c>
      <c r="CD499" s="133">
        <f t="shared" si="4789"/>
        <v>-1384</v>
      </c>
      <c r="CE499" s="133">
        <f t="shared" si="4789"/>
        <v>-1557</v>
      </c>
      <c r="CF499" s="133">
        <f t="shared" si="4789"/>
        <v>-1730</v>
      </c>
      <c r="CG499" s="133">
        <f t="shared" si="4789"/>
        <v>-1903</v>
      </c>
      <c r="CH499" s="133">
        <f t="shared" si="4789"/>
        <v>-2076</v>
      </c>
      <c r="CI499" s="133">
        <f t="shared" si="4789"/>
        <v>-2249</v>
      </c>
      <c r="CJ499" s="133">
        <f t="shared" si="4789"/>
        <v>-2422</v>
      </c>
      <c r="CK499" s="133">
        <f t="shared" si="4789"/>
        <v>-2595</v>
      </c>
      <c r="CL499" s="133">
        <f t="shared" si="4789"/>
        <v>-2768</v>
      </c>
      <c r="CM499" s="133">
        <f t="shared" si="4789"/>
        <v>-2941</v>
      </c>
      <c r="CN499" s="133">
        <f t="shared" si="4789"/>
        <v>-3114</v>
      </c>
      <c r="CO499" s="133">
        <f t="shared" si="4789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90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823"/>
        <v>0</v>
      </c>
      <c r="DB499" s="4">
        <f t="shared" si="4824"/>
        <v>0</v>
      </c>
      <c r="DC499" s="4">
        <f t="shared" si="4825"/>
        <v>0</v>
      </c>
      <c r="DD499" s="136">
        <f t="shared" si="4826"/>
        <v>0</v>
      </c>
      <c r="DE499" s="31">
        <v>0</v>
      </c>
      <c r="DF499" s="31">
        <v>0</v>
      </c>
      <c r="DG499" s="31">
        <v>0</v>
      </c>
      <c r="DH499" s="48">
        <f t="shared" si="4795"/>
        <v>0</v>
      </c>
      <c r="DI499" s="62">
        <v>0</v>
      </c>
      <c r="DJ499" s="62">
        <v>0</v>
      </c>
      <c r="DK499" s="48">
        <f t="shared" si="4796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97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98"/>
        <v>0</v>
      </c>
      <c r="DV499" s="62">
        <v>0</v>
      </c>
      <c r="DW499" s="62">
        <v>0</v>
      </c>
      <c r="DX499" s="62">
        <f t="shared" si="4799"/>
        <v>0</v>
      </c>
      <c r="DY499" s="62">
        <f t="shared" si="4800"/>
        <v>0</v>
      </c>
      <c r="DZ499" s="48">
        <f t="shared" si="4801"/>
        <v>0</v>
      </c>
      <c r="EA499" s="62">
        <f t="shared" si="4802"/>
        <v>0</v>
      </c>
      <c r="EB499" s="62">
        <f t="shared" si="4803"/>
        <v>0</v>
      </c>
      <c r="EC499" s="48">
        <f t="shared" si="4804"/>
        <v>0</v>
      </c>
      <c r="ED499" s="62">
        <f t="shared" si="4805"/>
        <v>0</v>
      </c>
      <c r="EE499" s="62">
        <f t="shared" si="4806"/>
        <v>0</v>
      </c>
      <c r="EF499" s="48">
        <f t="shared" si="4807"/>
        <v>0</v>
      </c>
      <c r="EG499" s="62">
        <f t="shared" si="4808"/>
        <v>0</v>
      </c>
      <c r="EH499" s="62">
        <f t="shared" si="4809"/>
        <v>0</v>
      </c>
      <c r="EI499" s="48">
        <f t="shared" si="4810"/>
        <v>0</v>
      </c>
      <c r="EJ499" s="62">
        <f t="shared" si="4811"/>
        <v>0</v>
      </c>
      <c r="EK499" s="62">
        <f t="shared" si="4812"/>
        <v>0</v>
      </c>
      <c r="EL499" s="48">
        <f t="shared" si="4813"/>
        <v>0</v>
      </c>
      <c r="EM499" s="62">
        <f t="shared" si="4814"/>
        <v>0</v>
      </c>
      <c r="EN499" s="62">
        <f t="shared" si="4815"/>
        <v>0</v>
      </c>
      <c r="EO499" s="48">
        <f t="shared" si="4816"/>
        <v>0</v>
      </c>
      <c r="EP499" s="62">
        <f t="shared" si="4817"/>
        <v>0</v>
      </c>
      <c r="EQ499" s="62">
        <f t="shared" si="4817"/>
        <v>0</v>
      </c>
      <c r="ER499" s="62">
        <f t="shared" si="4817"/>
        <v>0</v>
      </c>
      <c r="ES499" s="62">
        <f t="shared" si="4817"/>
        <v>0</v>
      </c>
      <c r="ET499" s="62">
        <f t="shared" si="4817"/>
        <v>0</v>
      </c>
      <c r="EU499" s="62">
        <f t="shared" si="4817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827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 t="shared" si="4656"/>
        <v>1</v>
      </c>
      <c r="FS499" s="120" t="b">
        <f t="shared" si="4657"/>
        <v>1</v>
      </c>
      <c r="FT499" s="120" t="b">
        <f t="shared" si="4658"/>
        <v>1</v>
      </c>
      <c r="FU499" s="120" t="b">
        <f t="shared" si="4659"/>
        <v>1</v>
      </c>
      <c r="FV499" s="120" t="b">
        <f t="shared" si="4660"/>
        <v>1</v>
      </c>
      <c r="FW499" s="104" t="b">
        <f t="shared" si="4662"/>
        <v>0</v>
      </c>
      <c r="FX499" s="120" t="b">
        <f t="shared" si="4819"/>
        <v>1</v>
      </c>
      <c r="FY499" s="104" t="s">
        <v>368</v>
      </c>
      <c r="FZ499" s="104" t="b">
        <f t="shared" si="4820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821"/>
        <v>1</v>
      </c>
      <c r="GI499" s="8" t="b">
        <f t="shared" si="4822"/>
        <v>0</v>
      </c>
      <c r="GJ499" s="31" t="s">
        <v>203</v>
      </c>
    </row>
    <row r="500" spans="1:192" hidden="1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828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66"/>
        <v>0</v>
      </c>
      <c r="S500" s="114">
        <v>0</v>
      </c>
      <c r="T500" s="114">
        <v>0</v>
      </c>
      <c r="U500" s="131">
        <f t="shared" si="4767"/>
        <v>0</v>
      </c>
      <c r="V500" s="115">
        <f t="shared" si="4768"/>
        <v>0</v>
      </c>
      <c r="W500" s="115">
        <f t="shared" si="4769"/>
        <v>0</v>
      </c>
      <c r="X500" s="115">
        <f t="shared" si="4770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829">AA500*FH500</f>
        <v>0</v>
      </c>
      <c r="AF500" s="95">
        <f t="shared" ref="AF500:AF502" si="4830">AB500*FH500</f>
        <v>0</v>
      </c>
      <c r="AG500" s="114">
        <v>0</v>
      </c>
      <c r="AH500" s="95">
        <f t="shared" si="4773"/>
        <v>0</v>
      </c>
      <c r="AI500" s="114">
        <f t="shared" si="4774"/>
        <v>0</v>
      </c>
      <c r="AJ500" s="114">
        <f t="shared" si="4775"/>
        <v>0</v>
      </c>
      <c r="AK500" s="114">
        <f t="shared" si="4776"/>
        <v>0</v>
      </c>
      <c r="AL500" s="114">
        <f t="shared" si="4777"/>
        <v>0</v>
      </c>
      <c r="AM500" s="114">
        <f t="shared" si="4778"/>
        <v>2390</v>
      </c>
      <c r="AN500" s="133">
        <f t="shared" ref="AN500:AN502" si="4831">IFERROR(S500/BQ500*30,"нет оборота")</f>
        <v>0</v>
      </c>
      <c r="AO500" s="133" t="str">
        <f t="shared" ref="AO500:AO502" si="4832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833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834">IF(AT500="Да",W500,0)</f>
        <v>0</v>
      </c>
      <c r="AX500" s="138"/>
      <c r="AY500" s="115">
        <f t="shared" ref="AY500:AY502" si="4835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836">BE500*FH500</f>
        <v>0</v>
      </c>
      <c r="BG500" s="32">
        <v>0</v>
      </c>
      <c r="BH500" s="32">
        <f t="shared" ref="BH500:BH502" si="4837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86"/>
        <v>796.66666666666663</v>
      </c>
      <c r="BR500" s="95">
        <f t="shared" ref="BR500:BR502" si="4838">IF(OR(Q500=0,SUM(BK500:BP500)=0,V500&gt;Q500),V500-BK500,Q500-BK500)</f>
        <v>0</v>
      </c>
      <c r="BS500" s="133">
        <f t="shared" si="4788"/>
        <v>0</v>
      </c>
      <c r="BT500" s="133">
        <f t="shared" si="4788"/>
        <v>-625</v>
      </c>
      <c r="BU500" s="133">
        <f t="shared" si="4788"/>
        <v>-1945</v>
      </c>
      <c r="BV500" s="133">
        <f t="shared" si="4788"/>
        <v>-2390</v>
      </c>
      <c r="BW500" s="133">
        <f t="shared" si="4788"/>
        <v>-2390</v>
      </c>
      <c r="BX500" s="133">
        <f t="shared" si="4789"/>
        <v>-3186.6666666666665</v>
      </c>
      <c r="BY500" s="133">
        <f t="shared" si="4789"/>
        <v>-3983.333333333333</v>
      </c>
      <c r="BZ500" s="133">
        <f t="shared" si="4789"/>
        <v>-4780</v>
      </c>
      <c r="CA500" s="133">
        <f t="shared" si="4789"/>
        <v>-5576.666666666667</v>
      </c>
      <c r="CB500" s="133">
        <f t="shared" si="4789"/>
        <v>-6373.3333333333339</v>
      </c>
      <c r="CC500" s="133">
        <f t="shared" si="4789"/>
        <v>-7170.0000000000009</v>
      </c>
      <c r="CD500" s="133">
        <f t="shared" si="4789"/>
        <v>-7966.6666666666679</v>
      </c>
      <c r="CE500" s="133">
        <f t="shared" si="4789"/>
        <v>-8763.3333333333339</v>
      </c>
      <c r="CF500" s="133">
        <f t="shared" si="4789"/>
        <v>-9560</v>
      </c>
      <c r="CG500" s="133">
        <f t="shared" si="4789"/>
        <v>-10356.666666666666</v>
      </c>
      <c r="CH500" s="133">
        <f t="shared" si="4789"/>
        <v>-11153.333333333332</v>
      </c>
      <c r="CI500" s="133">
        <f t="shared" si="4789"/>
        <v>-11949.999999999998</v>
      </c>
      <c r="CJ500" s="133">
        <f t="shared" si="4789"/>
        <v>-12746.666666666664</v>
      </c>
      <c r="CK500" s="133">
        <f t="shared" si="4789"/>
        <v>-13543.33333333333</v>
      </c>
      <c r="CL500" s="133">
        <f t="shared" si="4789"/>
        <v>-14339.999999999996</v>
      </c>
      <c r="CM500" s="133">
        <f t="shared" si="4789"/>
        <v>-15136.666666666662</v>
      </c>
      <c r="CN500" s="133">
        <f t="shared" si="4789"/>
        <v>-15933.333333333328</v>
      </c>
      <c r="CO500" s="133">
        <f t="shared" si="4789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90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823"/>
        <v>0</v>
      </c>
      <c r="DB500" s="4">
        <f t="shared" si="4824"/>
        <v>0</v>
      </c>
      <c r="DC500" s="4">
        <f t="shared" si="4825"/>
        <v>0</v>
      </c>
      <c r="DD500" s="136">
        <f t="shared" si="4826"/>
        <v>0</v>
      </c>
      <c r="DE500" s="31">
        <v>0</v>
      </c>
      <c r="DF500" s="31">
        <v>0</v>
      </c>
      <c r="DG500" s="31">
        <v>0</v>
      </c>
      <c r="DH500" s="48">
        <f t="shared" si="4795"/>
        <v>0</v>
      </c>
      <c r="DI500" s="62">
        <v>0</v>
      </c>
      <c r="DJ500" s="62">
        <v>0</v>
      </c>
      <c r="DK500" s="48">
        <f t="shared" si="4796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97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98"/>
        <v>0</v>
      </c>
      <c r="DV500" s="62">
        <v>0</v>
      </c>
      <c r="DW500" s="62">
        <v>0</v>
      </c>
      <c r="DX500" s="62">
        <f t="shared" si="4799"/>
        <v>0</v>
      </c>
      <c r="DY500" s="62">
        <f t="shared" si="4800"/>
        <v>0</v>
      </c>
      <c r="DZ500" s="48">
        <f t="shared" si="4801"/>
        <v>0</v>
      </c>
      <c r="EA500" s="62">
        <f t="shared" si="4802"/>
        <v>0</v>
      </c>
      <c r="EB500" s="62">
        <f t="shared" si="4803"/>
        <v>0</v>
      </c>
      <c r="EC500" s="48">
        <f t="shared" si="4804"/>
        <v>0</v>
      </c>
      <c r="ED500" s="62">
        <f t="shared" si="4805"/>
        <v>0</v>
      </c>
      <c r="EE500" s="62">
        <f t="shared" si="4806"/>
        <v>0</v>
      </c>
      <c r="EF500" s="48">
        <f t="shared" si="4807"/>
        <v>0</v>
      </c>
      <c r="EG500" s="62">
        <f t="shared" si="4808"/>
        <v>0</v>
      </c>
      <c r="EH500" s="62">
        <f t="shared" si="4809"/>
        <v>0</v>
      </c>
      <c r="EI500" s="48">
        <f t="shared" si="4810"/>
        <v>0</v>
      </c>
      <c r="EJ500" s="62">
        <f t="shared" si="4811"/>
        <v>0</v>
      </c>
      <c r="EK500" s="62">
        <f t="shared" si="4812"/>
        <v>0</v>
      </c>
      <c r="EL500" s="48">
        <f t="shared" si="4813"/>
        <v>0</v>
      </c>
      <c r="EM500" s="62">
        <f t="shared" si="4814"/>
        <v>0</v>
      </c>
      <c r="EN500" s="62">
        <f t="shared" si="4815"/>
        <v>0</v>
      </c>
      <c r="EO500" s="48">
        <f t="shared" si="4816"/>
        <v>0</v>
      </c>
      <c r="EP500" s="62">
        <f t="shared" si="4817"/>
        <v>0</v>
      </c>
      <c r="EQ500" s="62">
        <f t="shared" si="4817"/>
        <v>0</v>
      </c>
      <c r="ER500" s="62">
        <f t="shared" si="4817"/>
        <v>2037.4999999999998</v>
      </c>
      <c r="ES500" s="62">
        <f t="shared" si="4817"/>
        <v>4303.2</v>
      </c>
      <c r="ET500" s="62">
        <f t="shared" si="4817"/>
        <v>1450.6999999999998</v>
      </c>
      <c r="EU500" s="62">
        <f t="shared" si="4817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827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 t="shared" si="4656"/>
        <v>1</v>
      </c>
      <c r="FS500" s="120" t="b">
        <f t="shared" si="4657"/>
        <v>1</v>
      </c>
      <c r="FT500" s="120" t="b">
        <f t="shared" si="4658"/>
        <v>1</v>
      </c>
      <c r="FU500" s="120" t="b">
        <f t="shared" si="4659"/>
        <v>1</v>
      </c>
      <c r="FV500" s="120" t="b">
        <f t="shared" si="4660"/>
        <v>1</v>
      </c>
      <c r="FW500" s="104" t="b">
        <f t="shared" si="4662"/>
        <v>0</v>
      </c>
      <c r="FX500" s="120" t="b">
        <f>EXACT(FQ500,BI500)</f>
        <v>1</v>
      </c>
      <c r="FY500" s="104" t="s">
        <v>368</v>
      </c>
      <c r="FZ500" s="104" t="b">
        <f t="shared" ref="FZ500:FZ502" si="4839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hidden="1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828"/>
        <v>нет минмакс</v>
      </c>
      <c r="Q501" s="95">
        <v>0</v>
      </c>
      <c r="R501" s="95">
        <f t="shared" si="4766"/>
        <v>0</v>
      </c>
      <c r="S501" s="114">
        <v>0</v>
      </c>
      <c r="T501" s="114">
        <v>0</v>
      </c>
      <c r="U501" s="131">
        <f t="shared" si="4767"/>
        <v>0</v>
      </c>
      <c r="V501" s="115">
        <f t="shared" si="4768"/>
        <v>0</v>
      </c>
      <c r="W501" s="115">
        <f t="shared" si="4769"/>
        <v>0</v>
      </c>
      <c r="X501" s="115">
        <f t="shared" si="4770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829"/>
        <v>0</v>
      </c>
      <c r="AF501" s="95">
        <f t="shared" si="4830"/>
        <v>0</v>
      </c>
      <c r="AG501" s="114">
        <v>0</v>
      </c>
      <c r="AH501" s="95">
        <f t="shared" si="4773"/>
        <v>0</v>
      </c>
      <c r="AI501" s="114">
        <f t="shared" si="4774"/>
        <v>0</v>
      </c>
      <c r="AJ501" s="114">
        <f t="shared" si="4775"/>
        <v>0</v>
      </c>
      <c r="AK501" s="114">
        <f t="shared" si="4776"/>
        <v>0</v>
      </c>
      <c r="AL501" s="114">
        <f t="shared" si="4777"/>
        <v>0</v>
      </c>
      <c r="AM501" s="114">
        <f t="shared" si="4778"/>
        <v>0</v>
      </c>
      <c r="AN501" s="133" t="str">
        <f t="shared" si="4831"/>
        <v>нет оборота</v>
      </c>
      <c r="AO501" s="133" t="str">
        <f t="shared" si="4832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833"/>
        <v>нет остатка</v>
      </c>
      <c r="AW501" s="126">
        <f t="shared" si="4834"/>
        <v>0</v>
      </c>
      <c r="AX501" s="138"/>
      <c r="AY501" s="115">
        <f t="shared" si="4835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836"/>
        <v>0</v>
      </c>
      <c r="BG501" s="32">
        <v>0</v>
      </c>
      <c r="BH501" s="32">
        <f t="shared" si="4837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86"/>
        <v>0</v>
      </c>
      <c r="BR501" s="95">
        <f t="shared" si="4838"/>
        <v>0</v>
      </c>
      <c r="BS501" s="133">
        <f t="shared" si="4788"/>
        <v>0</v>
      </c>
      <c r="BT501" s="133">
        <f t="shared" si="4788"/>
        <v>0</v>
      </c>
      <c r="BU501" s="133">
        <f t="shared" si="4788"/>
        <v>0</v>
      </c>
      <c r="BV501" s="133">
        <f t="shared" si="4788"/>
        <v>0</v>
      </c>
      <c r="BW501" s="133">
        <f t="shared" si="4788"/>
        <v>0</v>
      </c>
      <c r="BX501" s="133">
        <f t="shared" si="4789"/>
        <v>0</v>
      </c>
      <c r="BY501" s="133">
        <f t="shared" si="4789"/>
        <v>0</v>
      </c>
      <c r="BZ501" s="133">
        <f t="shared" si="4789"/>
        <v>0</v>
      </c>
      <c r="CA501" s="133">
        <f t="shared" si="4789"/>
        <v>0</v>
      </c>
      <c r="CB501" s="133">
        <f t="shared" si="4789"/>
        <v>0</v>
      </c>
      <c r="CC501" s="133">
        <f t="shared" si="4789"/>
        <v>0</v>
      </c>
      <c r="CD501" s="133">
        <f t="shared" si="4789"/>
        <v>0</v>
      </c>
      <c r="CE501" s="133">
        <f t="shared" si="4789"/>
        <v>0</v>
      </c>
      <c r="CF501" s="133">
        <f t="shared" si="4789"/>
        <v>0</v>
      </c>
      <c r="CG501" s="133">
        <f t="shared" si="4789"/>
        <v>0</v>
      </c>
      <c r="CH501" s="133">
        <f t="shared" si="4789"/>
        <v>0</v>
      </c>
      <c r="CI501" s="133">
        <f t="shared" si="4789"/>
        <v>0</v>
      </c>
      <c r="CJ501" s="133">
        <f t="shared" si="4789"/>
        <v>0</v>
      </c>
      <c r="CK501" s="133">
        <f t="shared" si="4789"/>
        <v>0</v>
      </c>
      <c r="CL501" s="133">
        <f t="shared" si="4789"/>
        <v>0</v>
      </c>
      <c r="CM501" s="133">
        <f t="shared" si="4789"/>
        <v>0</v>
      </c>
      <c r="CN501" s="133">
        <f t="shared" si="4789"/>
        <v>0</v>
      </c>
      <c r="CO501" s="133">
        <f t="shared" si="4789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823"/>
        <v>0</v>
      </c>
      <c r="DB501" s="4">
        <f t="shared" si="4824"/>
        <v>0</v>
      </c>
      <c r="DC501" s="4">
        <f t="shared" si="4825"/>
        <v>0</v>
      </c>
      <c r="DD501" s="136">
        <f t="shared" si="4826"/>
        <v>0</v>
      </c>
      <c r="DE501" s="31">
        <v>0</v>
      </c>
      <c r="DF501" s="31">
        <v>0</v>
      </c>
      <c r="DG501" s="31">
        <v>0</v>
      </c>
      <c r="DH501" s="48">
        <f t="shared" si="4795"/>
        <v>0</v>
      </c>
      <c r="DI501" s="62">
        <v>0</v>
      </c>
      <c r="DJ501" s="62">
        <v>0</v>
      </c>
      <c r="DK501" s="48">
        <f t="shared" si="4796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97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98"/>
        <v>0</v>
      </c>
      <c r="DV501" s="62">
        <v>0</v>
      </c>
      <c r="DW501" s="62">
        <v>0</v>
      </c>
      <c r="DX501" s="62">
        <f t="shared" si="4799"/>
        <v>0</v>
      </c>
      <c r="DY501" s="62">
        <f t="shared" si="4800"/>
        <v>0</v>
      </c>
      <c r="DZ501" s="48">
        <f t="shared" si="4801"/>
        <v>0</v>
      </c>
      <c r="EA501" s="62">
        <f t="shared" si="4802"/>
        <v>0</v>
      </c>
      <c r="EB501" s="62">
        <f t="shared" si="4803"/>
        <v>0</v>
      </c>
      <c r="EC501" s="48">
        <f t="shared" si="4804"/>
        <v>0</v>
      </c>
      <c r="ED501" s="62">
        <f t="shared" si="4805"/>
        <v>0</v>
      </c>
      <c r="EE501" s="62">
        <f t="shared" si="4806"/>
        <v>0</v>
      </c>
      <c r="EF501" s="48">
        <f t="shared" si="4807"/>
        <v>0</v>
      </c>
      <c r="EG501" s="62">
        <f t="shared" si="4808"/>
        <v>0</v>
      </c>
      <c r="EH501" s="62">
        <f t="shared" si="4809"/>
        <v>0</v>
      </c>
      <c r="EI501" s="48">
        <f t="shared" si="4810"/>
        <v>0</v>
      </c>
      <c r="EJ501" s="62">
        <f t="shared" si="4811"/>
        <v>0</v>
      </c>
      <c r="EK501" s="62">
        <f t="shared" si="4812"/>
        <v>0</v>
      </c>
      <c r="EL501" s="48">
        <f t="shared" si="4813"/>
        <v>0</v>
      </c>
      <c r="EM501" s="62">
        <f t="shared" si="4814"/>
        <v>0</v>
      </c>
      <c r="EN501" s="62">
        <f t="shared" si="4815"/>
        <v>0</v>
      </c>
      <c r="EO501" s="48">
        <f t="shared" si="4816"/>
        <v>0</v>
      </c>
      <c r="EP501" s="62">
        <f t="shared" si="4817"/>
        <v>0</v>
      </c>
      <c r="EQ501" s="62">
        <f t="shared" si="4817"/>
        <v>0</v>
      </c>
      <c r="ER501" s="62">
        <f t="shared" si="4817"/>
        <v>0</v>
      </c>
      <c r="ES501" s="62">
        <f t="shared" si="4817"/>
        <v>0</v>
      </c>
      <c r="ET501" s="62">
        <f t="shared" si="4817"/>
        <v>0</v>
      </c>
      <c r="EU501" s="62">
        <f t="shared" si="4817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827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 t="shared" si="4656"/>
        <v>1</v>
      </c>
      <c r="FS501" s="120" t="b">
        <f t="shared" si="4657"/>
        <v>1</v>
      </c>
      <c r="FT501" s="120" t="b">
        <f t="shared" si="4658"/>
        <v>1</v>
      </c>
      <c r="FU501" s="120" t="b">
        <f t="shared" si="4659"/>
        <v>1</v>
      </c>
      <c r="FV501" s="120" t="b">
        <f t="shared" si="4660"/>
        <v>1</v>
      </c>
      <c r="FW501" s="104" t="b">
        <f t="shared" si="4662"/>
        <v>0</v>
      </c>
      <c r="FX501" s="120" t="b">
        <f>EXACT(FQ501,BI501)</f>
        <v>1</v>
      </c>
      <c r="FY501" s="104" t="s">
        <v>368</v>
      </c>
      <c r="FZ501" s="104" t="b">
        <f t="shared" si="4839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hidden="1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828"/>
        <v>нет минмакс</v>
      </c>
      <c r="Q502" s="95">
        <v>0</v>
      </c>
      <c r="R502" s="95">
        <f t="shared" si="4766"/>
        <v>0</v>
      </c>
      <c r="S502" s="114">
        <v>0</v>
      </c>
      <c r="T502" s="114">
        <v>0</v>
      </c>
      <c r="U502" s="131">
        <f t="shared" si="4767"/>
        <v>0</v>
      </c>
      <c r="V502" s="115">
        <f t="shared" si="4768"/>
        <v>0</v>
      </c>
      <c r="W502" s="115">
        <f t="shared" si="4769"/>
        <v>0</v>
      </c>
      <c r="X502" s="115">
        <f t="shared" si="4770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829"/>
        <v>0</v>
      </c>
      <c r="AF502" s="95">
        <f t="shared" si="4830"/>
        <v>0</v>
      </c>
      <c r="AG502" s="114">
        <v>0</v>
      </c>
      <c r="AH502" s="95">
        <f t="shared" si="4773"/>
        <v>0</v>
      </c>
      <c r="AI502" s="114">
        <f t="shared" si="4774"/>
        <v>0</v>
      </c>
      <c r="AJ502" s="114">
        <f t="shared" si="4775"/>
        <v>0</v>
      </c>
      <c r="AK502" s="114">
        <f t="shared" si="4776"/>
        <v>0</v>
      </c>
      <c r="AL502" s="114">
        <f t="shared" si="4777"/>
        <v>0</v>
      </c>
      <c r="AM502" s="114">
        <f t="shared" si="4778"/>
        <v>315</v>
      </c>
      <c r="AN502" s="133">
        <f t="shared" si="4831"/>
        <v>0</v>
      </c>
      <c r="AO502" s="133" t="str">
        <f t="shared" si="4832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833"/>
        <v>нет остатка</v>
      </c>
      <c r="AW502" s="126">
        <f t="shared" si="4834"/>
        <v>0</v>
      </c>
      <c r="AX502" s="138"/>
      <c r="AY502" s="115">
        <f t="shared" si="4835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836"/>
        <v>0</v>
      </c>
      <c r="BG502" s="32">
        <v>0</v>
      </c>
      <c r="BH502" s="32">
        <f t="shared" si="4837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86"/>
        <v>315</v>
      </c>
      <c r="BR502" s="95">
        <f t="shared" si="4838"/>
        <v>0</v>
      </c>
      <c r="BS502" s="133">
        <f t="shared" si="4788"/>
        <v>0</v>
      </c>
      <c r="BT502" s="133">
        <f t="shared" si="4788"/>
        <v>-315</v>
      </c>
      <c r="BU502" s="133">
        <f t="shared" si="4788"/>
        <v>-315</v>
      </c>
      <c r="BV502" s="133">
        <f t="shared" si="4788"/>
        <v>-315</v>
      </c>
      <c r="BW502" s="133">
        <f t="shared" si="4788"/>
        <v>-315</v>
      </c>
      <c r="BX502" s="133">
        <f t="shared" si="4789"/>
        <v>-630</v>
      </c>
      <c r="BY502" s="133">
        <f t="shared" si="4789"/>
        <v>-945</v>
      </c>
      <c r="BZ502" s="133">
        <f t="shared" si="4789"/>
        <v>-1260</v>
      </c>
      <c r="CA502" s="133">
        <f t="shared" si="4789"/>
        <v>-1575</v>
      </c>
      <c r="CB502" s="133">
        <f t="shared" si="4789"/>
        <v>-1890</v>
      </c>
      <c r="CC502" s="133">
        <f t="shared" si="4789"/>
        <v>-2205</v>
      </c>
      <c r="CD502" s="133">
        <f t="shared" si="4789"/>
        <v>-2520</v>
      </c>
      <c r="CE502" s="133">
        <f t="shared" si="4789"/>
        <v>-2835</v>
      </c>
      <c r="CF502" s="133">
        <f t="shared" si="4789"/>
        <v>-3150</v>
      </c>
      <c r="CG502" s="133">
        <f t="shared" si="4789"/>
        <v>-3465</v>
      </c>
      <c r="CH502" s="133">
        <f t="shared" si="4789"/>
        <v>-3780</v>
      </c>
      <c r="CI502" s="133">
        <f t="shared" si="4789"/>
        <v>-4095</v>
      </c>
      <c r="CJ502" s="133">
        <f t="shared" si="4789"/>
        <v>-4410</v>
      </c>
      <c r="CK502" s="133">
        <f t="shared" si="4789"/>
        <v>-4725</v>
      </c>
      <c r="CL502" s="133">
        <f t="shared" si="4789"/>
        <v>-5040</v>
      </c>
      <c r="CM502" s="133">
        <f t="shared" si="4789"/>
        <v>-5355</v>
      </c>
      <c r="CN502" s="133">
        <f t="shared" si="4789"/>
        <v>-5670</v>
      </c>
      <c r="CO502" s="133">
        <f t="shared" si="4789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823"/>
        <v>0</v>
      </c>
      <c r="DB502" s="4">
        <f t="shared" si="4824"/>
        <v>0</v>
      </c>
      <c r="DC502" s="4">
        <f t="shared" si="4825"/>
        <v>0</v>
      </c>
      <c r="DD502" s="136">
        <f t="shared" si="4826"/>
        <v>0</v>
      </c>
      <c r="DE502" s="31">
        <v>0</v>
      </c>
      <c r="DF502" s="31">
        <v>0</v>
      </c>
      <c r="DG502" s="31">
        <v>0</v>
      </c>
      <c r="DH502" s="48">
        <f t="shared" si="4795"/>
        <v>0</v>
      </c>
      <c r="DI502" s="62">
        <v>0</v>
      </c>
      <c r="DJ502" s="62">
        <v>0</v>
      </c>
      <c r="DK502" s="48">
        <f t="shared" si="4796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97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98"/>
        <v>0</v>
      </c>
      <c r="DV502" s="62">
        <v>0</v>
      </c>
      <c r="DW502" s="62">
        <v>0</v>
      </c>
      <c r="DX502" s="62">
        <f t="shared" si="4799"/>
        <v>0</v>
      </c>
      <c r="DY502" s="62">
        <f t="shared" si="4800"/>
        <v>0</v>
      </c>
      <c r="DZ502" s="48">
        <f t="shared" si="4801"/>
        <v>0</v>
      </c>
      <c r="EA502" s="62">
        <f t="shared" si="4802"/>
        <v>0</v>
      </c>
      <c r="EB502" s="62">
        <f t="shared" si="4803"/>
        <v>0</v>
      </c>
      <c r="EC502" s="48">
        <f t="shared" si="4804"/>
        <v>0</v>
      </c>
      <c r="ED502" s="62">
        <f t="shared" si="4805"/>
        <v>0</v>
      </c>
      <c r="EE502" s="62">
        <f t="shared" si="4806"/>
        <v>0</v>
      </c>
      <c r="EF502" s="48">
        <f t="shared" si="4807"/>
        <v>0</v>
      </c>
      <c r="EG502" s="62">
        <f t="shared" si="4808"/>
        <v>0</v>
      </c>
      <c r="EH502" s="62">
        <f t="shared" si="4809"/>
        <v>0</v>
      </c>
      <c r="EI502" s="48">
        <f t="shared" si="4810"/>
        <v>0</v>
      </c>
      <c r="EJ502" s="62">
        <f t="shared" si="4811"/>
        <v>0</v>
      </c>
      <c r="EK502" s="62">
        <f t="shared" si="4812"/>
        <v>0</v>
      </c>
      <c r="EL502" s="48">
        <f t="shared" si="4813"/>
        <v>0</v>
      </c>
      <c r="EM502" s="62">
        <f t="shared" si="4814"/>
        <v>0</v>
      </c>
      <c r="EN502" s="62">
        <f t="shared" si="4815"/>
        <v>0</v>
      </c>
      <c r="EO502" s="48">
        <f t="shared" si="4816"/>
        <v>0</v>
      </c>
      <c r="EP502" s="62">
        <f t="shared" si="4817"/>
        <v>0</v>
      </c>
      <c r="EQ502" s="62">
        <f t="shared" si="4817"/>
        <v>0</v>
      </c>
      <c r="ER502" s="62">
        <f t="shared" si="4817"/>
        <v>1143.45</v>
      </c>
      <c r="ES502" s="62">
        <f t="shared" si="4817"/>
        <v>0</v>
      </c>
      <c r="ET502" s="62">
        <f t="shared" si="4817"/>
        <v>0</v>
      </c>
      <c r="EU502" s="62">
        <f t="shared" si="4817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827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 t="shared" si="4656"/>
        <v>1</v>
      </c>
      <c r="FS502" s="120" t="b">
        <f t="shared" si="4657"/>
        <v>1</v>
      </c>
      <c r="FT502" s="120" t="b">
        <f t="shared" si="4658"/>
        <v>1</v>
      </c>
      <c r="FU502" s="120" t="b">
        <f t="shared" si="4659"/>
        <v>1</v>
      </c>
      <c r="FV502" s="120" t="b">
        <f t="shared" si="4660"/>
        <v>1</v>
      </c>
      <c r="FW502" s="104" t="b">
        <f t="shared" si="4662"/>
        <v>0</v>
      </c>
      <c r="FX502" s="120" t="b">
        <f>EXACT(FQ502,BI502)</f>
        <v>1</v>
      </c>
      <c r="FY502" s="104" t="s">
        <v>368</v>
      </c>
      <c r="FZ502" s="104" t="b">
        <f t="shared" si="4839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 xr:uid="{00000000-0009-0000-0000-000000000000}">
    <filterColumn colId="2" showButton="0"/>
  </autoFilter>
  <conditionalFormatting sqref="AI7:AI501">
    <cfRule type="cellIs" dxfId="8" priority="67" operator="equal">
      <formula>0</formula>
    </cfRule>
  </conditionalFormatting>
  <conditionalFormatting sqref="AL7:AM502">
    <cfRule type="cellIs" dxfId="7" priority="66" operator="equal">
      <formula>0</formula>
    </cfRule>
  </conditionalFormatting>
  <conditionalFormatting sqref="AT1:AT3 AP1:AP1048576 AR1:AR1048576">
    <cfRule type="cellIs" dxfId="6" priority="7" operator="equal">
      <formula>"нет"</formula>
    </cfRule>
    <cfRule type="cellIs" dxfId="5" priority="8" operator="equal">
      <formula>"да"</formula>
    </cfRule>
  </conditionalFormatting>
  <conditionalFormatting sqref="AT5:AT1048576">
    <cfRule type="cellIs" dxfId="4" priority="1" operator="equal">
      <formula>"нет"</formula>
    </cfRule>
    <cfRule type="cellIs" dxfId="3" priority="2" operator="equal">
      <formula>"да"</formula>
    </cfRule>
  </conditionalFormatting>
  <conditionalFormatting sqref="AU381:AU494">
    <cfRule type="containsText" dxfId="2" priority="54" operator="containsText" text="нет">
      <formula>NOT(ISERROR(SEARCH("нет",AU381)))</formula>
    </cfRule>
  </conditionalFormatting>
  <conditionalFormatting sqref="BR7:CO502">
    <cfRule type="cellIs" dxfId="1" priority="68" operator="greaterThan">
      <formula>0</formula>
    </cfRule>
    <cfRule type="cellIs" dxfId="0" priority="69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SINTEC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Желков Ярослав Александрович</dc:creator>
  <cp:lastModifiedBy>Илья Филин</cp:lastModifiedBy>
  <dcterms:created xsi:type="dcterms:W3CDTF">2025-07-01T14:33:51Z</dcterms:created>
  <dcterms:modified xsi:type="dcterms:W3CDTF">2025-07-21T15:47:45Z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