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xr:revisionPtr revIDLastSave="0" documentId="13_ncr:1_{489A939F-CBD4-49E6-BD82-F5116C5F8A16}" xr6:coauthVersionLast="47" xr6:coauthVersionMax="47" xr10:uidLastSave="{00000000-0000-0000-0000-000000000000}"/>
  <bookViews>
    <workbookView xWindow="-108" yWindow="-108" windowWidth="23256" windowHeight="12576" xr2:uid="{C8C0250F-F971-4369-B878-CADACD35A3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AA13" i="1"/>
  <c r="AA14" i="1" s="1"/>
  <c r="V16" i="1" s="1"/>
  <c r="X22" i="1" s="1"/>
  <c r="C10" i="1"/>
  <c r="H7" i="1" s="1"/>
  <c r="AK11" i="1"/>
  <c r="C31" i="1"/>
  <c r="C27" i="1"/>
  <c r="P26" i="1"/>
  <c r="R26" i="1" s="1"/>
  <c r="P19" i="1"/>
  <c r="P31" i="1" s="1"/>
  <c r="E16" i="1"/>
  <c r="H3" i="1"/>
  <c r="H4" i="1" s="1"/>
  <c r="C9" i="1" s="1"/>
  <c r="R19" i="1" l="1"/>
  <c r="R33" i="1" s="1"/>
  <c r="R34" i="1" s="1"/>
  <c r="P33" i="1"/>
  <c r="O34" i="1" s="1"/>
  <c r="H5" i="1"/>
  <c r="N3" i="1" s="1"/>
</calcChain>
</file>

<file path=xl/sharedStrings.xml><?xml version="1.0" encoding="utf-8"?>
<sst xmlns="http://schemas.openxmlformats.org/spreadsheetml/2006/main" count="83" uniqueCount="77">
  <si>
    <t>Исходные данные</t>
  </si>
  <si>
    <t>Ввод данных</t>
  </si>
  <si>
    <t>Расчётные данные</t>
  </si>
  <si>
    <t>Плотность (кг/м³)</t>
  </si>
  <si>
    <t xml:space="preserve">Объём (м³) </t>
  </si>
  <si>
    <t>Радиус 1 внеш (м)</t>
  </si>
  <si>
    <t>Масса(кг)</t>
  </si>
  <si>
    <t>Радиус 2 внут (м)</t>
  </si>
  <si>
    <t>Энергия</t>
  </si>
  <si>
    <t>Высота (м)</t>
  </si>
  <si>
    <t>(Дж)</t>
  </si>
  <si>
    <t>Для своего I</t>
  </si>
  <si>
    <t>Вспомогательные данные</t>
  </si>
  <si>
    <t>Свой I</t>
  </si>
  <si>
    <t>Момент инерции</t>
  </si>
  <si>
    <t>Угловая скорость</t>
  </si>
  <si>
    <t>t (с)</t>
  </si>
  <si>
    <t>W(Дж)</t>
  </si>
  <si>
    <t>W (Дж)</t>
  </si>
  <si>
    <t>Вывод P:</t>
  </si>
  <si>
    <t>где: W - энергия маховика (=мощность рекуператора), Iр - момент инерции отн. оси вращ.</t>
  </si>
  <si>
    <t>Вывод n (об/мин) :</t>
  </si>
  <si>
    <t>Расчет рабочей частоты вращения маховика на рекуперацию</t>
  </si>
  <si>
    <t>Обороты ротора F (об/мин)</t>
  </si>
  <si>
    <t>Число магнитных полюсов  n</t>
  </si>
  <si>
    <t>Расчет энергетики маховика</t>
  </si>
  <si>
    <t>Число катушек генератора N</t>
  </si>
  <si>
    <t>Число витков в катушке M</t>
  </si>
  <si>
    <t>Площадь магнита (м2)</t>
  </si>
  <si>
    <t>Полученное напряжение U необходимо разделить на полное сопротивление генератора R, которое вычисляется следующим образом:</t>
  </si>
  <si>
    <t xml:space="preserve">Вывод U (В) : </t>
  </si>
  <si>
    <t>Расчет мощности рекуперации</t>
  </si>
  <si>
    <t>где: P - мощность рекуператора (кВт),        W - собираемая энергия (Дж),                                t - время (с)</t>
  </si>
  <si>
    <t xml:space="preserve">Ввод данных </t>
  </si>
  <si>
    <t>Удельное сопротивление ρ</t>
  </si>
  <si>
    <t>Длина обмотки L</t>
  </si>
  <si>
    <t>Площадь поперечного сечения S</t>
  </si>
  <si>
    <t>Вспомагательные преобразования</t>
  </si>
  <si>
    <t>Габариты магнитов в S (из мм в м2)</t>
  </si>
  <si>
    <t>Длина, мм</t>
  </si>
  <si>
    <t>Ширина, мм</t>
  </si>
  <si>
    <t xml:space="preserve">Вывод площади S в м2 : </t>
  </si>
  <si>
    <t>Диаметр поперечного сечения в S (мм в мм2)</t>
  </si>
  <si>
    <t xml:space="preserve">Диаметр поперечного сечения, мм </t>
  </si>
  <si>
    <t>Вывод S провода, мм2</t>
  </si>
  <si>
    <r>
      <rPr>
        <sz val="11"/>
        <color theme="1"/>
        <rFont val="Calibri"/>
        <family val="2"/>
        <charset val="204"/>
        <scheme val="minor"/>
      </rPr>
      <t>Вывод R (Ом) :</t>
    </r>
    <r>
      <rPr>
        <sz val="9"/>
        <color theme="1"/>
        <rFont val="Calibri"/>
        <family val="2"/>
        <charset val="204"/>
        <scheme val="minor"/>
      </rPr>
      <t xml:space="preserve"> </t>
    </r>
  </si>
  <si>
    <t>Полученное сопротивление R будет обозначаться как Rг и использоваться для расчёта силы тока генератора по следующей формуле:</t>
  </si>
  <si>
    <t>Ввод данных :</t>
  </si>
  <si>
    <t>Напряжение генератора Uг (В)</t>
  </si>
  <si>
    <t>Напряжение потребителя Uп (В)</t>
  </si>
  <si>
    <t>Вывод I (А) :</t>
  </si>
  <si>
    <t xml:space="preserve">Или, умножив I на Uг, получим мощность в Вт: </t>
  </si>
  <si>
    <t>Расчёт ЭДС</t>
  </si>
  <si>
    <t>Ввод данных:</t>
  </si>
  <si>
    <t>Диаметр окружности генерации, м</t>
  </si>
  <si>
    <t>Длина окружности генерации, м</t>
  </si>
  <si>
    <t>B, Тл</t>
  </si>
  <si>
    <t>l, Тл</t>
  </si>
  <si>
    <t>v, м/с</t>
  </si>
  <si>
    <t>r окружности генерации, м</t>
  </si>
  <si>
    <t>частота вращения, об/мин</t>
  </si>
  <si>
    <t>"звезда"</t>
  </si>
  <si>
    <t>Частота вращ (об/мин)</t>
  </si>
  <si>
    <t>V, м/с</t>
  </si>
  <si>
    <t>L, м</t>
  </si>
  <si>
    <t>Вывод E, В</t>
  </si>
  <si>
    <t>D, м</t>
  </si>
  <si>
    <t>n, об/мин</t>
  </si>
  <si>
    <t>(U в 1 витке)</t>
  </si>
  <si>
    <t>Расчет генератора через ЭДС</t>
  </si>
  <si>
    <t>Расчет генератора</t>
  </si>
  <si>
    <t>Умножим напряжение одного витка на количество витков и количество катушек</t>
  </si>
  <si>
    <t>Количество витков в 1 катушке</t>
  </si>
  <si>
    <t>Количество катушек генератора</t>
  </si>
  <si>
    <t>Полученное расчетное значение напряжения, В</t>
  </si>
  <si>
    <t>ω, рад/с</t>
  </si>
  <si>
    <t>Доп.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</si>
</sst>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2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/>
    </xf>
    <xf numFmtId="0" fontId="0" fillId="5" borderId="0" xfId="0" applyFill="1" applyBorder="1"/>
    <xf numFmtId="0" fontId="0" fillId="5" borderId="17" xfId="0" applyFill="1" applyBorder="1" applyAlignment="1">
      <alignment horizontal="center" vertical="center"/>
    </xf>
    <xf numFmtId="0" fontId="0" fillId="5" borderId="21" xfId="0" applyFill="1" applyBorder="1"/>
    <xf numFmtId="0" fontId="0" fillId="8" borderId="13" xfId="0" applyFill="1" applyBorder="1"/>
    <xf numFmtId="0" fontId="0" fillId="8" borderId="0" xfId="0" applyFill="1" applyBorder="1"/>
    <xf numFmtId="0" fontId="0" fillId="8" borderId="22" xfId="0" applyFill="1" applyBorder="1"/>
    <xf numFmtId="0" fontId="0" fillId="8" borderId="23" xfId="0" applyFill="1" applyBorder="1"/>
    <xf numFmtId="0" fontId="0" fillId="5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0" xfId="0" applyFill="1"/>
    <xf numFmtId="0" fontId="0" fillId="5" borderId="4" xfId="0" applyFill="1" applyBorder="1" applyAlignment="1">
      <alignment horizontal="center" vertical="center"/>
    </xf>
    <xf numFmtId="0" fontId="0" fillId="5" borderId="13" xfId="0" applyFill="1" applyBorder="1"/>
    <xf numFmtId="0" fontId="0" fillId="12" borderId="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17" xfId="0" applyFill="1" applyBorder="1"/>
    <xf numFmtId="0" fontId="0" fillId="8" borderId="21" xfId="0" applyFill="1" applyBorder="1"/>
    <xf numFmtId="0" fontId="0" fillId="5" borderId="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27" xfId="0" applyBorder="1"/>
    <xf numFmtId="0" fontId="0" fillId="0" borderId="35" xfId="0" applyBorder="1"/>
    <xf numFmtId="0" fontId="0" fillId="0" borderId="26" xfId="0" applyBorder="1"/>
    <xf numFmtId="0" fontId="0" fillId="11" borderId="12" xfId="0" applyFill="1" applyBorder="1"/>
    <xf numFmtId="0" fontId="0" fillId="12" borderId="0" xfId="0" applyFill="1" applyBorder="1"/>
    <xf numFmtId="0" fontId="5" fillId="12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0" fillId="13" borderId="12" xfId="0" applyFill="1" applyBorder="1" applyAlignment="1">
      <alignment horizontal="center" vertical="center"/>
    </xf>
    <xf numFmtId="0" fontId="0" fillId="0" borderId="13" xfId="0" applyBorder="1" applyAlignment="1"/>
    <xf numFmtId="0" fontId="0" fillId="0" borderId="0" xfId="0" applyBorder="1" applyAlignment="1"/>
    <xf numFmtId="0" fontId="0" fillId="0" borderId="33" xfId="0" applyBorder="1" applyAlignment="1"/>
    <xf numFmtId="0" fontId="0" fillId="2" borderId="24" xfId="0" applyFill="1" applyBorder="1" applyAlignment="1">
      <alignment horizontal="center"/>
    </xf>
    <xf numFmtId="0" fontId="0" fillId="0" borderId="13" xfId="0" applyBorder="1"/>
    <xf numFmtId="0" fontId="0" fillId="0" borderId="17" xfId="0" applyBorder="1" applyAlignment="1"/>
    <xf numFmtId="0" fontId="0" fillId="10" borderId="12" xfId="0" applyFill="1" applyBorder="1"/>
    <xf numFmtId="0" fontId="1" fillId="0" borderId="0" xfId="0" applyFont="1"/>
    <xf numFmtId="0" fontId="0" fillId="0" borderId="0" xfId="0" applyFont="1"/>
    <xf numFmtId="2" fontId="0" fillId="12" borderId="12" xfId="0" applyNumberFormat="1" applyFill="1" applyBorder="1"/>
    <xf numFmtId="2" fontId="0" fillId="12" borderId="15" xfId="0" applyNumberFormat="1" applyFill="1" applyBorder="1"/>
    <xf numFmtId="2" fontId="0" fillId="12" borderId="41" xfId="0" applyNumberFormat="1" applyFill="1" applyBorder="1"/>
    <xf numFmtId="2" fontId="0" fillId="12" borderId="12" xfId="0" applyNumberFormat="1" applyFill="1" applyBorder="1" applyAlignment="1">
      <alignment horizontal="center" vertical="center"/>
    </xf>
    <xf numFmtId="0" fontId="0" fillId="3" borderId="7" xfId="0" applyFill="1" applyBorder="1" applyAlignment="1"/>
    <xf numFmtId="0" fontId="0" fillId="10" borderId="12" xfId="0" applyFill="1" applyBorder="1" applyAlignment="1"/>
    <xf numFmtId="0" fontId="0" fillId="13" borderId="42" xfId="0" applyFill="1" applyBorder="1" applyAlignment="1"/>
    <xf numFmtId="0" fontId="0" fillId="13" borderId="43" xfId="0" applyFill="1" applyBorder="1" applyAlignment="1"/>
    <xf numFmtId="0" fontId="0" fillId="13" borderId="44" xfId="0" applyFill="1" applyBorder="1" applyAlignment="1"/>
    <xf numFmtId="0" fontId="0" fillId="3" borderId="37" xfId="0" applyFill="1" applyBorder="1" applyAlignment="1"/>
    <xf numFmtId="0" fontId="0" fillId="10" borderId="14" xfId="0" applyFill="1" applyBorder="1" applyAlignment="1"/>
    <xf numFmtId="0" fontId="0" fillId="10" borderId="14" xfId="0" applyFill="1" applyBorder="1"/>
    <xf numFmtId="0" fontId="0" fillId="12" borderId="48" xfId="0" applyFont="1" applyFill="1" applyBorder="1" applyAlignment="1"/>
    <xf numFmtId="0" fontId="0" fillId="12" borderId="49" xfId="0" applyFont="1" applyFill="1" applyBorder="1" applyAlignment="1"/>
    <xf numFmtId="1" fontId="0" fillId="12" borderId="50" xfId="0" applyNumberFormat="1" applyFont="1" applyFill="1" applyBorder="1"/>
    <xf numFmtId="2" fontId="0" fillId="12" borderId="47" xfId="0" applyNumberFormat="1" applyFont="1" applyFill="1" applyBorder="1"/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2" fontId="0" fillId="12" borderId="12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3" fillId="1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2" fontId="0" fillId="12" borderId="24" xfId="0" applyNumberFormat="1" applyFill="1" applyBorder="1" applyAlignment="1">
      <alignment horizontal="center" vertical="center"/>
    </xf>
    <xf numFmtId="2" fontId="0" fillId="12" borderId="27" xfId="0" applyNumberForma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/>
    </xf>
    <xf numFmtId="2" fontId="0" fillId="12" borderId="3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2" fontId="0" fillId="12" borderId="20" xfId="0" applyNumberFormat="1" applyFill="1" applyBorder="1" applyAlignment="1">
      <alignment horizontal="center"/>
    </xf>
    <xf numFmtId="2" fontId="0" fillId="12" borderId="40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3" borderId="2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horizontal="center" vertical="center"/>
    </xf>
    <xf numFmtId="2" fontId="0" fillId="10" borderId="27" xfId="0" applyNumberFormat="1" applyFill="1" applyBorder="1" applyAlignment="1">
      <alignment horizontal="center" vertical="center"/>
    </xf>
    <xf numFmtId="2" fontId="0" fillId="10" borderId="36" xfId="0" applyNumberForma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2" fontId="0" fillId="13" borderId="8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10" borderId="30" xfId="0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wrapText="1"/>
    </xf>
    <xf numFmtId="0" fontId="0" fillId="13" borderId="29" xfId="0" applyFill="1" applyBorder="1" applyAlignment="1">
      <alignment horizontal="center" wrapText="1"/>
    </xf>
    <xf numFmtId="0" fontId="0" fillId="13" borderId="31" xfId="0" applyFill="1" applyBorder="1" applyAlignment="1">
      <alignment horizontal="center" wrapText="1"/>
    </xf>
    <xf numFmtId="0" fontId="0" fillId="13" borderId="25" xfId="0" applyFill="1" applyBorder="1" applyAlignment="1">
      <alignment horizontal="center" wrapText="1"/>
    </xf>
    <xf numFmtId="0" fontId="0" fillId="13" borderId="35" xfId="0" applyFill="1" applyBorder="1" applyAlignment="1">
      <alignment horizontal="center" wrapText="1"/>
    </xf>
    <xf numFmtId="0" fontId="0" fillId="13" borderId="36" xfId="0" applyFill="1" applyBorder="1" applyAlignment="1">
      <alignment horizontal="center" wrapText="1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2" borderId="45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32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46" xfId="0" applyFill="1" applyBorder="1" applyAlignment="1">
      <alignment horizontal="center" wrapText="1"/>
    </xf>
    <xf numFmtId="2" fontId="0" fillId="12" borderId="14" xfId="0" applyNumberFormat="1" applyFill="1" applyBorder="1" applyAlignment="1">
      <alignment horizontal="center" vertical="center"/>
    </xf>
    <xf numFmtId="2" fontId="0" fillId="12" borderId="4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42" xfId="0" applyFont="1" applyFill="1" applyBorder="1" applyAlignment="1">
      <alignment horizontal="center"/>
    </xf>
    <xf numFmtId="0" fontId="0" fillId="12" borderId="44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3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12</xdr:row>
      <xdr:rowOff>13252</xdr:rowOff>
    </xdr:from>
    <xdr:to>
      <xdr:col>1</xdr:col>
      <xdr:colOff>809802</xdr:colOff>
      <xdr:row>16</xdr:row>
      <xdr:rowOff>112347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E53506B-6F95-4E61-9D1C-BFE09AE09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286000"/>
          <a:ext cx="1267002" cy="847843"/>
        </a:xfrm>
        <a:prstGeom prst="rect">
          <a:avLst/>
        </a:prstGeom>
      </xdr:spPr>
    </xdr:pic>
    <xdr:clientData/>
  </xdr:twoCellAnchor>
  <xdr:twoCellAnchor editAs="oneCell">
    <xdr:from>
      <xdr:col>10</xdr:col>
      <xdr:colOff>59635</xdr:colOff>
      <xdr:row>1</xdr:row>
      <xdr:rowOff>111114</xdr:rowOff>
    </xdr:from>
    <xdr:to>
      <xdr:col>11</xdr:col>
      <xdr:colOff>583096</xdr:colOff>
      <xdr:row>5</xdr:row>
      <xdr:rowOff>165780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C654525-BB7C-4ECF-B14A-83353B092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3757" y="303271"/>
          <a:ext cx="1133061" cy="849796"/>
        </a:xfrm>
        <a:prstGeom prst="rect">
          <a:avLst/>
        </a:prstGeom>
      </xdr:spPr>
    </xdr:pic>
    <xdr:clientData/>
  </xdr:twoCellAnchor>
  <xdr:twoCellAnchor editAs="oneCell">
    <xdr:from>
      <xdr:col>8</xdr:col>
      <xdr:colOff>6477</xdr:colOff>
      <xdr:row>12</xdr:row>
      <xdr:rowOff>4010</xdr:rowOff>
    </xdr:from>
    <xdr:to>
      <xdr:col>12</xdr:col>
      <xdr:colOff>645697</xdr:colOff>
      <xdr:row>18</xdr:row>
      <xdr:rowOff>176932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14BCADA-85EB-422C-808C-194EF38E7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4119" y="2277978"/>
          <a:ext cx="2070978" cy="1294475"/>
        </a:xfrm>
        <a:prstGeom prst="rect">
          <a:avLst/>
        </a:prstGeom>
      </xdr:spPr>
    </xdr:pic>
    <xdr:clientData/>
  </xdr:twoCellAnchor>
  <xdr:twoCellAnchor editAs="oneCell">
    <xdr:from>
      <xdr:col>8</xdr:col>
      <xdr:colOff>8022</xdr:colOff>
      <xdr:row>21</xdr:row>
      <xdr:rowOff>12031</xdr:rowOff>
    </xdr:from>
    <xdr:to>
      <xdr:col>12</xdr:col>
      <xdr:colOff>640258</xdr:colOff>
      <xdr:row>26</xdr:row>
      <xdr:rowOff>166135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69A102F-95D6-4A41-B916-1D947B258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5664" y="3970420"/>
          <a:ext cx="2063994" cy="1094875"/>
        </a:xfrm>
        <a:prstGeom prst="rect">
          <a:avLst/>
        </a:prstGeom>
      </xdr:spPr>
    </xdr:pic>
    <xdr:clientData/>
  </xdr:twoCellAnchor>
  <xdr:twoCellAnchor editAs="oneCell">
    <xdr:from>
      <xdr:col>10</xdr:col>
      <xdr:colOff>9241</xdr:colOff>
      <xdr:row>29</xdr:row>
      <xdr:rowOff>16042</xdr:rowOff>
    </xdr:from>
    <xdr:to>
      <xdr:col>12</xdr:col>
      <xdr:colOff>446622</xdr:colOff>
      <xdr:row>32</xdr:row>
      <xdr:rowOff>184485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3848E477-80A5-458D-9343-BA94265FD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441" y="5482389"/>
          <a:ext cx="1656581" cy="721896"/>
        </a:xfrm>
        <a:prstGeom prst="rect">
          <a:avLst/>
        </a:prstGeom>
      </xdr:spPr>
    </xdr:pic>
    <xdr:clientData/>
  </xdr:twoCellAnchor>
  <xdr:twoCellAnchor editAs="oneCell">
    <xdr:from>
      <xdr:col>32</xdr:col>
      <xdr:colOff>17586</xdr:colOff>
      <xdr:row>1</xdr:row>
      <xdr:rowOff>18960</xdr:rowOff>
    </xdr:from>
    <xdr:to>
      <xdr:col>34</xdr:col>
      <xdr:colOff>592016</xdr:colOff>
      <xdr:row>4</xdr:row>
      <xdr:rowOff>169512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F0CBCE6-CCF6-4E9C-BC65-A9959FCD0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4555" y="212391"/>
          <a:ext cx="1793630" cy="754290"/>
        </a:xfrm>
        <a:prstGeom prst="rect">
          <a:avLst/>
        </a:prstGeom>
      </xdr:spPr>
    </xdr:pic>
    <xdr:clientData/>
  </xdr:twoCellAnchor>
  <xdr:twoCellAnchor editAs="oneCell">
    <xdr:from>
      <xdr:col>19</xdr:col>
      <xdr:colOff>26505</xdr:colOff>
      <xdr:row>10</xdr:row>
      <xdr:rowOff>16685</xdr:rowOff>
    </xdr:from>
    <xdr:to>
      <xdr:col>21</xdr:col>
      <xdr:colOff>742123</xdr:colOff>
      <xdr:row>14</xdr:row>
      <xdr:rowOff>172278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E323C45-CC6B-447C-A1DF-F7355097D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5409" y="1931624"/>
          <a:ext cx="1934818" cy="910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F858-4728-4912-8215-092F83A0A9B9}">
  <dimension ref="A1:AK34"/>
  <sheetViews>
    <sheetView tabSelected="1" zoomScaleNormal="100" workbookViewId="0">
      <selection activeCell="C3" sqref="C3:D3"/>
    </sheetView>
  </sheetViews>
  <sheetFormatPr defaultRowHeight="14.4" x14ac:dyDescent="0.3"/>
  <cols>
    <col min="2" max="2" width="14.21875" customWidth="1"/>
    <col min="5" max="5" width="7" customWidth="1"/>
    <col min="6" max="6" width="5.88671875" customWidth="1"/>
    <col min="7" max="7" width="10" customWidth="1"/>
    <col min="8" max="8" width="12" customWidth="1"/>
    <col min="9" max="9" width="0.77734375" customWidth="1"/>
    <col min="10" max="10" width="2.33203125" customWidth="1"/>
    <col min="11" max="11" width="8.88671875" customWidth="1"/>
    <col min="13" max="13" width="9.44140625" customWidth="1"/>
    <col min="14" max="14" width="10.44140625" bestFit="1" customWidth="1"/>
    <col min="15" max="15" width="11.77734375" customWidth="1"/>
    <col min="18" max="18" width="14.33203125" customWidth="1"/>
    <col min="22" max="22" width="11.44140625" customWidth="1"/>
  </cols>
  <sheetData>
    <row r="1" spans="1:37" ht="15" thickBot="1" x14ac:dyDescent="0.35">
      <c r="A1" s="154" t="s">
        <v>25</v>
      </c>
      <c r="B1" s="155"/>
      <c r="C1" s="155"/>
      <c r="D1" s="155"/>
      <c r="E1" s="155"/>
      <c r="F1" s="155"/>
      <c r="G1" s="155"/>
      <c r="H1" s="155"/>
      <c r="I1" s="156"/>
      <c r="J1" s="18"/>
      <c r="K1" s="142" t="s">
        <v>31</v>
      </c>
      <c r="L1" s="143"/>
      <c r="M1" s="143"/>
      <c r="N1" s="143"/>
      <c r="O1" s="143"/>
      <c r="P1" s="143"/>
      <c r="Q1" s="144"/>
      <c r="AG1" s="83" t="s">
        <v>52</v>
      </c>
      <c r="AH1" s="84"/>
      <c r="AI1" s="84"/>
      <c r="AJ1" s="84"/>
      <c r="AK1" s="84"/>
    </row>
    <row r="2" spans="1:37" ht="15" thickBot="1" x14ac:dyDescent="0.35">
      <c r="A2" s="166" t="s">
        <v>0</v>
      </c>
      <c r="B2" s="167"/>
      <c r="C2" s="213" t="s">
        <v>1</v>
      </c>
      <c r="D2" s="167"/>
      <c r="E2" s="4"/>
      <c r="F2" s="219" t="s">
        <v>2</v>
      </c>
      <c r="G2" s="220"/>
      <c r="H2" s="220"/>
      <c r="I2" s="221"/>
      <c r="J2" s="4"/>
      <c r="K2" s="210"/>
      <c r="L2" s="211"/>
      <c r="M2" s="208" t="s">
        <v>1</v>
      </c>
      <c r="N2" s="209"/>
      <c r="O2" s="174"/>
      <c r="P2" s="3"/>
      <c r="Q2" s="6"/>
      <c r="R2" s="90"/>
      <c r="S2" s="91"/>
      <c r="AG2" s="40"/>
      <c r="AH2" s="39"/>
      <c r="AI2" s="41"/>
      <c r="AJ2" s="85" t="s">
        <v>53</v>
      </c>
      <c r="AK2" s="86"/>
    </row>
    <row r="3" spans="1:37" x14ac:dyDescent="0.3">
      <c r="A3" s="145" t="s">
        <v>3</v>
      </c>
      <c r="B3" s="146"/>
      <c r="C3" s="85">
        <v>7000</v>
      </c>
      <c r="D3" s="152"/>
      <c r="E3" s="25"/>
      <c r="F3" s="183" t="s">
        <v>4</v>
      </c>
      <c r="G3" s="183"/>
      <c r="H3" s="178">
        <f>PI() * C6 * (C4^2 - C5^2)</f>
        <v>1.1339185984050657E-2</v>
      </c>
      <c r="I3" s="179"/>
      <c r="J3" s="4"/>
      <c r="K3" s="210"/>
      <c r="L3" s="211"/>
      <c r="M3" s="22" t="s">
        <v>17</v>
      </c>
      <c r="N3" s="23">
        <f>H5</f>
        <v>19327.202919496594</v>
      </c>
      <c r="O3" s="174"/>
      <c r="P3" s="3"/>
      <c r="Q3" s="6"/>
      <c r="AG3" s="40"/>
      <c r="AH3" s="39"/>
      <c r="AI3" s="41"/>
      <c r="AJ3" s="38" t="s">
        <v>56</v>
      </c>
      <c r="AK3" s="45"/>
    </row>
    <row r="4" spans="1:37" ht="18" customHeight="1" thickBot="1" x14ac:dyDescent="0.35">
      <c r="A4" s="145" t="s">
        <v>5</v>
      </c>
      <c r="B4" s="146"/>
      <c r="C4" s="85">
        <v>0.25</v>
      </c>
      <c r="D4" s="86"/>
      <c r="E4" s="4"/>
      <c r="F4" s="183" t="s">
        <v>6</v>
      </c>
      <c r="G4" s="183"/>
      <c r="H4" s="180">
        <f>H3*C3</f>
        <v>79.374301888354594</v>
      </c>
      <c r="I4" s="181"/>
      <c r="J4" s="4"/>
      <c r="K4" s="210"/>
      <c r="L4" s="211"/>
      <c r="M4" s="17" t="s">
        <v>16</v>
      </c>
      <c r="N4" s="2">
        <v>3600</v>
      </c>
      <c r="O4" s="174"/>
      <c r="P4" s="3"/>
      <c r="Q4" s="6"/>
      <c r="AG4" s="40"/>
      <c r="AH4" s="39"/>
      <c r="AI4" s="41"/>
      <c r="AJ4" s="38" t="s">
        <v>57</v>
      </c>
      <c r="AK4" s="45"/>
    </row>
    <row r="5" spans="1:37" x14ac:dyDescent="0.3">
      <c r="A5" s="145" t="s">
        <v>7</v>
      </c>
      <c r="B5" s="146"/>
      <c r="C5" s="85">
        <v>0.16250000000000001</v>
      </c>
      <c r="D5" s="86"/>
      <c r="E5" s="4"/>
      <c r="F5" s="218" t="s">
        <v>8</v>
      </c>
      <c r="G5" s="218"/>
      <c r="H5" s="170">
        <f xml:space="preserve"> (C10^2)/2 * C9</f>
        <v>19327.202919496594</v>
      </c>
      <c r="I5" s="171"/>
      <c r="J5" s="4"/>
      <c r="K5" s="210"/>
      <c r="L5" s="212"/>
      <c r="M5" s="1" t="s">
        <v>19</v>
      </c>
      <c r="N5" s="27">
        <f>N3/N4/1000</f>
        <v>5.3686674776379428E-3</v>
      </c>
      <c r="O5" s="28"/>
      <c r="P5" s="3"/>
      <c r="Q5" s="6"/>
      <c r="AG5" s="42"/>
      <c r="AH5" s="43"/>
      <c r="AI5" s="44"/>
      <c r="AJ5" s="38" t="s">
        <v>58</v>
      </c>
      <c r="AK5" s="45"/>
    </row>
    <row r="6" spans="1:37" ht="15" thickBot="1" x14ac:dyDescent="0.35">
      <c r="A6" s="145" t="s">
        <v>9</v>
      </c>
      <c r="B6" s="146"/>
      <c r="C6" s="85">
        <v>0.1</v>
      </c>
      <c r="D6" s="86"/>
      <c r="E6" s="4"/>
      <c r="F6" s="4"/>
      <c r="G6" s="4"/>
      <c r="H6" s="134" t="s">
        <v>10</v>
      </c>
      <c r="I6" s="182"/>
      <c r="J6" s="4"/>
      <c r="K6" s="210"/>
      <c r="L6" s="212"/>
      <c r="M6" s="4"/>
      <c r="N6" s="21"/>
      <c r="O6" s="26"/>
      <c r="P6" s="3"/>
      <c r="Q6" s="6"/>
      <c r="AG6" s="80" t="s">
        <v>59</v>
      </c>
      <c r="AH6" s="80"/>
      <c r="AI6" s="80"/>
      <c r="AJ6" s="80"/>
      <c r="AK6" s="45"/>
    </row>
    <row r="7" spans="1:37" ht="14.4" customHeight="1" x14ac:dyDescent="0.3">
      <c r="A7" s="188" t="s">
        <v>62</v>
      </c>
      <c r="B7" s="146"/>
      <c r="C7" s="85">
        <v>1000</v>
      </c>
      <c r="D7" s="86"/>
      <c r="E7" s="4"/>
      <c r="F7" s="168" t="s">
        <v>11</v>
      </c>
      <c r="G7" s="169"/>
      <c r="H7" s="170">
        <f xml:space="preserve"> (C10^2)/2 * F8</f>
        <v>5477.5555555555557</v>
      </c>
      <c r="I7" s="171"/>
      <c r="J7" s="4"/>
      <c r="K7" s="157" t="s">
        <v>32</v>
      </c>
      <c r="L7" s="158"/>
      <c r="M7" s="158"/>
      <c r="N7" s="159"/>
      <c r="O7" s="4"/>
      <c r="P7" s="3"/>
      <c r="Q7" s="6"/>
      <c r="Z7" s="59"/>
      <c r="AG7" s="81" t="s">
        <v>60</v>
      </c>
      <c r="AH7" s="81"/>
      <c r="AI7" s="81"/>
      <c r="AJ7" s="81"/>
      <c r="AK7" s="45"/>
    </row>
    <row r="8" spans="1:37" x14ac:dyDescent="0.3">
      <c r="A8" s="189" t="s">
        <v>12</v>
      </c>
      <c r="B8" s="190"/>
      <c r="C8" s="190"/>
      <c r="D8" s="191"/>
      <c r="E8" s="24" t="s">
        <v>13</v>
      </c>
      <c r="F8" s="51">
        <v>1</v>
      </c>
      <c r="G8" s="4"/>
      <c r="H8" s="172"/>
      <c r="I8" s="173"/>
      <c r="J8" s="4"/>
      <c r="K8" s="160"/>
      <c r="L8" s="161"/>
      <c r="M8" s="161"/>
      <c r="N8" s="162"/>
      <c r="O8" s="4"/>
      <c r="P8" s="3"/>
      <c r="Q8" s="6"/>
    </row>
    <row r="9" spans="1:37" ht="15" thickBot="1" x14ac:dyDescent="0.35">
      <c r="A9" s="192" t="s">
        <v>14</v>
      </c>
      <c r="B9" s="193"/>
      <c r="C9" s="194">
        <f>0.5 * H4 * ((C4^2) + (C5^2))</f>
        <v>3.5284357636307631</v>
      </c>
      <c r="D9" s="195"/>
      <c r="E9" s="4"/>
      <c r="F9" s="4"/>
      <c r="G9" s="4"/>
      <c r="H9" s="174"/>
      <c r="I9" s="175"/>
      <c r="J9" s="4"/>
      <c r="K9" s="163"/>
      <c r="L9" s="164"/>
      <c r="M9" s="164"/>
      <c r="N9" s="165"/>
      <c r="O9" s="4"/>
      <c r="P9" s="3"/>
      <c r="Q9" s="6"/>
    </row>
    <row r="10" spans="1:37" ht="13.8" customHeight="1" thickBot="1" x14ac:dyDescent="0.35">
      <c r="A10" s="184" t="s">
        <v>15</v>
      </c>
      <c r="B10" s="185"/>
      <c r="C10" s="186">
        <f>(3.14 * C7)/30</f>
        <v>104.66666666666667</v>
      </c>
      <c r="D10" s="187"/>
      <c r="E10" s="7"/>
      <c r="F10" s="7"/>
      <c r="G10" s="7"/>
      <c r="H10" s="176"/>
      <c r="I10" s="177"/>
      <c r="J10" s="4"/>
      <c r="K10" s="3"/>
      <c r="L10" s="3"/>
      <c r="M10" s="3"/>
      <c r="N10" s="3"/>
      <c r="O10" s="3"/>
      <c r="P10" s="3"/>
      <c r="Q10" s="3"/>
      <c r="T10" s="67" t="s">
        <v>69</v>
      </c>
      <c r="U10" s="68"/>
      <c r="V10" s="68"/>
      <c r="W10" s="68"/>
      <c r="X10" s="69"/>
      <c r="AG10" s="87" t="s">
        <v>54</v>
      </c>
      <c r="AH10" s="88"/>
      <c r="AI10" s="88"/>
      <c r="AJ10" s="89"/>
      <c r="AK10">
        <v>0.18</v>
      </c>
    </row>
    <row r="11" spans="1:37" ht="14.4" customHeight="1" thickBot="1" x14ac:dyDescent="0.35">
      <c r="A11" s="16"/>
      <c r="B11" s="4"/>
      <c r="C11" s="4"/>
      <c r="D11" s="4"/>
      <c r="E11" s="4"/>
      <c r="F11" s="4"/>
      <c r="G11" s="4"/>
      <c r="H11" s="4"/>
      <c r="I11" s="7"/>
      <c r="J11" s="7"/>
      <c r="K11" s="8"/>
      <c r="L11" s="8"/>
      <c r="M11" s="8"/>
      <c r="N11" s="8"/>
      <c r="O11" s="8"/>
      <c r="P11" s="8"/>
      <c r="Q11" s="8"/>
      <c r="T11" s="56"/>
      <c r="U11" s="54"/>
      <c r="V11" s="57"/>
      <c r="W11" s="65" t="s">
        <v>1</v>
      </c>
      <c r="X11" s="70"/>
      <c r="AG11" s="77" t="s">
        <v>55</v>
      </c>
      <c r="AH11" s="78"/>
      <c r="AI11" s="78"/>
      <c r="AJ11" s="79"/>
      <c r="AK11">
        <f>AK10*3.141592</f>
        <v>0.56548655999999997</v>
      </c>
    </row>
    <row r="12" spans="1:37" ht="15" thickBot="1" x14ac:dyDescent="0.35">
      <c r="A12" s="147" t="s">
        <v>22</v>
      </c>
      <c r="B12" s="148"/>
      <c r="C12" s="93"/>
      <c r="D12" s="93"/>
      <c r="E12" s="93"/>
      <c r="F12" s="93"/>
      <c r="G12" s="148"/>
      <c r="H12" s="149"/>
      <c r="I12" s="150" t="s">
        <v>70</v>
      </c>
      <c r="J12" s="151"/>
      <c r="K12" s="151"/>
      <c r="L12" s="151"/>
      <c r="M12" s="151"/>
      <c r="N12" s="151"/>
      <c r="O12" s="151"/>
      <c r="P12" s="151"/>
      <c r="Q12" s="151"/>
      <c r="T12" s="52"/>
      <c r="U12" s="54"/>
      <c r="V12" s="53"/>
      <c r="W12" s="66" t="s">
        <v>67</v>
      </c>
      <c r="X12" s="71">
        <v>3000</v>
      </c>
      <c r="Z12" s="237" t="s">
        <v>76</v>
      </c>
      <c r="AA12" s="238"/>
    </row>
    <row r="13" spans="1:37" x14ac:dyDescent="0.3">
      <c r="A13" s="12"/>
      <c r="B13" s="13"/>
      <c r="C13" s="153" t="s">
        <v>1</v>
      </c>
      <c r="D13" s="153"/>
      <c r="E13" s="153"/>
      <c r="F13" s="153"/>
      <c r="G13" s="4"/>
      <c r="H13" s="10"/>
      <c r="I13" s="19"/>
      <c r="J13" s="5"/>
      <c r="K13" s="29"/>
      <c r="L13" s="29"/>
      <c r="M13" s="30"/>
      <c r="N13" s="216" t="s">
        <v>1</v>
      </c>
      <c r="O13" s="217"/>
      <c r="P13" s="217"/>
      <c r="Q13" s="217"/>
      <c r="T13" s="52"/>
      <c r="U13" s="54"/>
      <c r="V13" s="53"/>
      <c r="W13" s="66" t="s">
        <v>66</v>
      </c>
      <c r="X13" s="72">
        <v>0.6</v>
      </c>
      <c r="Z13" s="73" t="s">
        <v>75</v>
      </c>
      <c r="AA13" s="75">
        <f>(X12*3.1415)/30</f>
        <v>314.14999999999998</v>
      </c>
    </row>
    <row r="14" spans="1:37" ht="15" thickBot="1" x14ac:dyDescent="0.35">
      <c r="A14" s="12"/>
      <c r="B14" s="13"/>
      <c r="C14" s="97" t="s">
        <v>14</v>
      </c>
      <c r="D14" s="97"/>
      <c r="E14" s="197">
        <v>2.6411799E-2</v>
      </c>
      <c r="F14" s="197"/>
      <c r="G14" s="4"/>
      <c r="H14" s="10"/>
      <c r="I14" s="16"/>
      <c r="J14" s="4"/>
      <c r="K14" s="31"/>
      <c r="L14" s="31"/>
      <c r="M14" s="31"/>
      <c r="N14" s="214" t="s">
        <v>23</v>
      </c>
      <c r="O14" s="135"/>
      <c r="P14" s="134">
        <v>2100</v>
      </c>
      <c r="Q14" s="215"/>
      <c r="T14" s="52"/>
      <c r="U14" s="54"/>
      <c r="V14" s="53"/>
      <c r="W14" s="58" t="s">
        <v>56</v>
      </c>
      <c r="X14" s="72">
        <v>0.8</v>
      </c>
      <c r="Z14" s="74" t="s">
        <v>63</v>
      </c>
      <c r="AA14" s="76">
        <f>AA13*(X13/2)</f>
        <v>94.24499999999999</v>
      </c>
    </row>
    <row r="15" spans="1:37" x14ac:dyDescent="0.3">
      <c r="A15" s="12"/>
      <c r="B15" s="13"/>
      <c r="C15" s="97" t="s">
        <v>18</v>
      </c>
      <c r="D15" s="97"/>
      <c r="E15" s="197">
        <v>14467.2096</v>
      </c>
      <c r="F15" s="197"/>
      <c r="G15" s="4"/>
      <c r="H15" s="10"/>
      <c r="I15" s="16"/>
      <c r="J15" s="4"/>
      <c r="K15" s="31"/>
      <c r="L15" s="31"/>
      <c r="M15" s="31"/>
      <c r="N15" s="214" t="s">
        <v>24</v>
      </c>
      <c r="O15" s="135"/>
      <c r="P15" s="134">
        <v>12</v>
      </c>
      <c r="Q15" s="215"/>
      <c r="T15" s="52"/>
      <c r="U15" s="54"/>
      <c r="V15" s="53"/>
      <c r="W15" s="58" t="s">
        <v>64</v>
      </c>
      <c r="X15" s="72">
        <v>0.04</v>
      </c>
    </row>
    <row r="16" spans="1:37" x14ac:dyDescent="0.3">
      <c r="A16" s="12"/>
      <c r="B16" s="13"/>
      <c r="C16" s="198" t="s">
        <v>21</v>
      </c>
      <c r="D16" s="198"/>
      <c r="E16" s="196">
        <f>SQRT(E15/(19.739*E14))*60</f>
        <v>9994.9832780810593</v>
      </c>
      <c r="F16" s="196"/>
      <c r="G16" s="4"/>
      <c r="H16" s="10"/>
      <c r="I16" s="16"/>
      <c r="J16" s="4"/>
      <c r="K16" s="31"/>
      <c r="L16" s="31"/>
      <c r="M16" s="31"/>
      <c r="N16" s="214" t="s">
        <v>26</v>
      </c>
      <c r="O16" s="135"/>
      <c r="P16" s="134">
        <v>9</v>
      </c>
      <c r="Q16" s="215"/>
      <c r="T16" s="235" t="s">
        <v>65</v>
      </c>
      <c r="U16" s="79"/>
      <c r="V16" s="61">
        <f>X14*AA14*X15</f>
        <v>3.0158400000000003</v>
      </c>
      <c r="W16" s="140" t="s">
        <v>68</v>
      </c>
      <c r="X16" s="236"/>
      <c r="Y16" s="60"/>
    </row>
    <row r="17" spans="1:24" ht="15" thickBot="1" x14ac:dyDescent="0.35">
      <c r="A17" s="14"/>
      <c r="B17" s="15"/>
      <c r="C17" s="9"/>
      <c r="D17" s="9"/>
      <c r="E17" s="9"/>
      <c r="F17" s="4"/>
      <c r="G17" s="4"/>
      <c r="H17" s="10"/>
      <c r="I17" s="16"/>
      <c r="J17" s="4"/>
      <c r="K17" s="31"/>
      <c r="L17" s="31"/>
      <c r="M17" s="31"/>
      <c r="N17" s="214" t="s">
        <v>27</v>
      </c>
      <c r="O17" s="135"/>
      <c r="P17" s="134">
        <v>120</v>
      </c>
      <c r="Q17" s="215"/>
      <c r="R17" s="39"/>
      <c r="S17" s="39"/>
      <c r="T17" s="239"/>
      <c r="U17" s="240"/>
      <c r="V17" s="240"/>
      <c r="W17" s="240"/>
      <c r="X17" s="241"/>
    </row>
    <row r="18" spans="1:24" ht="14.4" customHeight="1" x14ac:dyDescent="0.3">
      <c r="A18" s="128" t="s">
        <v>20</v>
      </c>
      <c r="B18" s="129"/>
      <c r="C18" s="9"/>
      <c r="D18" s="9"/>
      <c r="E18" s="9"/>
      <c r="F18" s="4"/>
      <c r="G18" s="4"/>
      <c r="H18" s="10"/>
      <c r="I18" s="16"/>
      <c r="J18" s="4"/>
      <c r="K18" s="31"/>
      <c r="L18" s="31"/>
      <c r="M18" s="31"/>
      <c r="N18" s="199" t="s">
        <v>28</v>
      </c>
      <c r="O18" s="200"/>
      <c r="P18" s="201">
        <v>5.9999999999999995E-4</v>
      </c>
      <c r="Q18" s="200"/>
      <c r="R18" s="55" t="s">
        <v>61</v>
      </c>
      <c r="T18" s="202" t="s">
        <v>71</v>
      </c>
      <c r="U18" s="203"/>
      <c r="V18" s="203"/>
      <c r="W18" s="203"/>
      <c r="X18" s="204"/>
    </row>
    <row r="19" spans="1:24" ht="15" customHeight="1" x14ac:dyDescent="0.3">
      <c r="A19" s="130"/>
      <c r="B19" s="131"/>
      <c r="C19" s="9"/>
      <c r="D19" s="9"/>
      <c r="E19" s="9"/>
      <c r="F19" s="4"/>
      <c r="G19" s="4"/>
      <c r="H19" s="37"/>
      <c r="I19" s="49"/>
      <c r="J19" s="49"/>
      <c r="K19" s="50"/>
      <c r="L19" s="50"/>
      <c r="M19" s="50"/>
      <c r="N19" s="99" t="s">
        <v>30</v>
      </c>
      <c r="O19" s="99"/>
      <c r="P19" s="98">
        <f>2*(P14/60)*P15*P16*P17*P18*0.65</f>
        <v>353.80799999999999</v>
      </c>
      <c r="Q19" s="98"/>
      <c r="R19" s="64">
        <f>P19*1.7</f>
        <v>601.47359999999992</v>
      </c>
      <c r="T19" s="205"/>
      <c r="U19" s="206"/>
      <c r="V19" s="206"/>
      <c r="W19" s="206"/>
      <c r="X19" s="207"/>
    </row>
    <row r="20" spans="1:24" x14ac:dyDescent="0.3">
      <c r="A20" s="130"/>
      <c r="B20" s="131"/>
      <c r="C20" s="9"/>
      <c r="D20" s="9"/>
      <c r="E20" s="9"/>
      <c r="F20" s="4"/>
      <c r="G20" s="4"/>
      <c r="H20" s="4"/>
      <c r="I20" s="110" t="s">
        <v>29</v>
      </c>
      <c r="J20" s="110"/>
      <c r="K20" s="110"/>
      <c r="L20" s="110"/>
      <c r="M20" s="110"/>
      <c r="N20" s="110"/>
      <c r="O20" s="110"/>
      <c r="P20" s="110"/>
      <c r="Q20" s="110"/>
      <c r="R20" s="46"/>
      <c r="T20" s="222" t="s">
        <v>72</v>
      </c>
      <c r="U20" s="223"/>
      <c r="V20" s="224"/>
      <c r="W20" s="225">
        <v>120</v>
      </c>
      <c r="X20" s="226"/>
    </row>
    <row r="21" spans="1:24" ht="15" thickBot="1" x14ac:dyDescent="0.35">
      <c r="A21" s="132"/>
      <c r="B21" s="133"/>
      <c r="C21" s="11"/>
      <c r="D21" s="11"/>
      <c r="E21" s="11"/>
      <c r="F21" s="11"/>
      <c r="G21" s="11"/>
      <c r="H21" s="11"/>
      <c r="I21" s="110"/>
      <c r="J21" s="110"/>
      <c r="K21" s="110"/>
      <c r="L21" s="110"/>
      <c r="M21" s="110"/>
      <c r="N21" s="110"/>
      <c r="O21" s="110"/>
      <c r="P21" s="110"/>
      <c r="Q21" s="110"/>
      <c r="R21" s="46"/>
      <c r="T21" s="222" t="s">
        <v>73</v>
      </c>
      <c r="U21" s="223"/>
      <c r="V21" s="224"/>
      <c r="W21" s="225">
        <v>1</v>
      </c>
      <c r="X21" s="226"/>
    </row>
    <row r="22" spans="1:24" ht="15" customHeight="1" thickBot="1" x14ac:dyDescent="0.35">
      <c r="A22" s="95" t="s">
        <v>37</v>
      </c>
      <c r="B22" s="96"/>
      <c r="C22" s="96"/>
      <c r="D22" s="96"/>
      <c r="E22" s="96"/>
      <c r="F22" s="96"/>
      <c r="G22" s="96"/>
      <c r="H22" s="96"/>
      <c r="I22" s="106"/>
      <c r="J22" s="106"/>
      <c r="K22" s="106"/>
      <c r="L22" s="106"/>
      <c r="M22" s="106"/>
      <c r="N22" s="107" t="s">
        <v>33</v>
      </c>
      <c r="O22" s="107"/>
      <c r="P22" s="107"/>
      <c r="Q22" s="107"/>
      <c r="R22" s="46"/>
      <c r="T22" s="227" t="s">
        <v>74</v>
      </c>
      <c r="U22" s="228"/>
      <c r="V22" s="228"/>
      <c r="W22" s="229"/>
      <c r="X22" s="233">
        <f>V16*W20*W21</f>
        <v>361.90080000000006</v>
      </c>
    </row>
    <row r="23" spans="1:24" ht="15" thickBot="1" x14ac:dyDescent="0.35">
      <c r="I23" s="106"/>
      <c r="J23" s="106"/>
      <c r="K23" s="106"/>
      <c r="L23" s="106"/>
      <c r="M23" s="106"/>
      <c r="N23" s="108" t="s">
        <v>34</v>
      </c>
      <c r="O23" s="80"/>
      <c r="P23" s="80">
        <v>1.7500000000000002E-2</v>
      </c>
      <c r="Q23" s="80"/>
      <c r="R23" s="47"/>
      <c r="T23" s="230"/>
      <c r="U23" s="231"/>
      <c r="V23" s="231"/>
      <c r="W23" s="232"/>
      <c r="X23" s="234"/>
    </row>
    <row r="24" spans="1:24" x14ac:dyDescent="0.3">
      <c r="A24" s="97" t="s">
        <v>38</v>
      </c>
      <c r="B24" s="97"/>
      <c r="C24" s="97"/>
      <c r="D24" s="97"/>
      <c r="I24" s="106"/>
      <c r="J24" s="106"/>
      <c r="K24" s="106"/>
      <c r="L24" s="106"/>
      <c r="M24" s="106"/>
      <c r="N24" s="109" t="s">
        <v>35</v>
      </c>
      <c r="O24" s="80"/>
      <c r="P24" s="80">
        <v>156.6</v>
      </c>
      <c r="Q24" s="80"/>
      <c r="R24" s="46"/>
    </row>
    <row r="25" spans="1:24" x14ac:dyDescent="0.3">
      <c r="A25" s="134" t="s">
        <v>39</v>
      </c>
      <c r="B25" s="135"/>
      <c r="C25" s="136">
        <v>30</v>
      </c>
      <c r="D25" s="137"/>
      <c r="I25" s="106"/>
      <c r="J25" s="106"/>
      <c r="K25" s="106"/>
      <c r="L25" s="106"/>
      <c r="M25" s="106"/>
      <c r="N25" s="108" t="s">
        <v>36</v>
      </c>
      <c r="O25" s="80"/>
      <c r="P25" s="80">
        <v>1</v>
      </c>
      <c r="Q25" s="80"/>
      <c r="R25" s="48"/>
    </row>
    <row r="26" spans="1:24" x14ac:dyDescent="0.3">
      <c r="A26" s="134" t="s">
        <v>40</v>
      </c>
      <c r="B26" s="135"/>
      <c r="C26" s="136">
        <v>20</v>
      </c>
      <c r="D26" s="137"/>
      <c r="I26" s="20"/>
      <c r="J26" s="9"/>
      <c r="K26" s="9"/>
      <c r="L26" s="9"/>
      <c r="M26" s="9"/>
      <c r="N26" s="100" t="s">
        <v>45</v>
      </c>
      <c r="O26" s="100"/>
      <c r="P26" s="102">
        <f>(P23*P24)/P25</f>
        <v>2.7405000000000004</v>
      </c>
      <c r="Q26" s="103"/>
      <c r="R26" s="82">
        <f>P26*1.9</f>
        <v>5.2069500000000009</v>
      </c>
    </row>
    <row r="27" spans="1:24" x14ac:dyDescent="0.3">
      <c r="A27" s="138" t="s">
        <v>41</v>
      </c>
      <c r="B27" s="139"/>
      <c r="C27" s="140">
        <f>C25*C26*0.000001</f>
        <v>5.9999999999999995E-4</v>
      </c>
      <c r="D27" s="141"/>
      <c r="I27" s="20"/>
      <c r="J27" s="9"/>
      <c r="K27" s="9"/>
      <c r="L27" s="9"/>
      <c r="M27" s="9"/>
      <c r="N27" s="101"/>
      <c r="O27" s="101"/>
      <c r="P27" s="104"/>
      <c r="Q27" s="105"/>
      <c r="R27" s="82"/>
    </row>
    <row r="28" spans="1:24" ht="15" thickBot="1" x14ac:dyDescent="0.35">
      <c r="I28" s="123" t="s">
        <v>46</v>
      </c>
      <c r="J28" s="123"/>
      <c r="K28" s="123"/>
      <c r="L28" s="123"/>
      <c r="M28" s="123"/>
      <c r="N28" s="123"/>
      <c r="O28" s="123"/>
      <c r="P28" s="123"/>
      <c r="Q28" s="123"/>
      <c r="R28" s="46"/>
    </row>
    <row r="29" spans="1:24" ht="15" thickBot="1" x14ac:dyDescent="0.35">
      <c r="A29" s="92" t="s">
        <v>42</v>
      </c>
      <c r="B29" s="93"/>
      <c r="C29" s="93"/>
      <c r="D29" s="94"/>
      <c r="I29" s="124"/>
      <c r="J29" s="124"/>
      <c r="K29" s="124"/>
      <c r="L29" s="124"/>
      <c r="M29" s="124"/>
      <c r="N29" s="123"/>
      <c r="O29" s="123"/>
      <c r="P29" s="123"/>
      <c r="Q29" s="123"/>
      <c r="R29" s="46"/>
    </row>
    <row r="30" spans="1:24" x14ac:dyDescent="0.3">
      <c r="A30" s="111" t="s">
        <v>43</v>
      </c>
      <c r="B30" s="112"/>
      <c r="C30" s="112">
        <v>1</v>
      </c>
      <c r="D30" s="112"/>
      <c r="I30" s="32"/>
      <c r="J30" s="33"/>
      <c r="K30" s="33"/>
      <c r="L30" s="33"/>
      <c r="M30" s="34"/>
      <c r="N30" s="125" t="s">
        <v>47</v>
      </c>
      <c r="O30" s="126"/>
      <c r="P30" s="126"/>
      <c r="Q30" s="126"/>
      <c r="R30" s="46"/>
    </row>
    <row r="31" spans="1:24" x14ac:dyDescent="0.3">
      <c r="A31" s="113" t="s">
        <v>44</v>
      </c>
      <c r="B31" s="113"/>
      <c r="C31" s="114">
        <f>3.14159*(C30/2)^2</f>
        <v>0.78539749999999997</v>
      </c>
      <c r="D31" s="114"/>
      <c r="I31" s="12"/>
      <c r="J31" s="13"/>
      <c r="K31" s="13"/>
      <c r="L31" s="13"/>
      <c r="M31" s="35"/>
      <c r="N31" s="127" t="s">
        <v>48</v>
      </c>
      <c r="O31" s="81"/>
      <c r="P31" s="81">
        <f>P19</f>
        <v>353.80799999999999</v>
      </c>
      <c r="Q31" s="81"/>
      <c r="R31" s="46"/>
    </row>
    <row r="32" spans="1:24" x14ac:dyDescent="0.3">
      <c r="I32" s="12"/>
      <c r="J32" s="13"/>
      <c r="K32" s="13"/>
      <c r="L32" s="13"/>
      <c r="M32" s="35"/>
      <c r="N32" s="127" t="s">
        <v>49</v>
      </c>
      <c r="O32" s="81"/>
      <c r="P32" s="81">
        <v>60</v>
      </c>
      <c r="Q32" s="81"/>
      <c r="R32" s="46"/>
    </row>
    <row r="33" spans="9:18" ht="15" thickBot="1" x14ac:dyDescent="0.35">
      <c r="I33" s="14"/>
      <c r="J33" s="36"/>
      <c r="K33" s="36"/>
      <c r="L33" s="36"/>
      <c r="M33" s="15"/>
      <c r="N33" s="115" t="s">
        <v>50</v>
      </c>
      <c r="O33" s="116"/>
      <c r="P33" s="117">
        <f>(P31-P32)/P26</f>
        <v>107.20963327859877</v>
      </c>
      <c r="Q33" s="118"/>
      <c r="R33" s="62">
        <f>(R19-P32)/R26</f>
        <v>103.99055109036956</v>
      </c>
    </row>
    <row r="34" spans="9:18" ht="15" thickBot="1" x14ac:dyDescent="0.35">
      <c r="I34" s="119" t="s">
        <v>51</v>
      </c>
      <c r="J34" s="120"/>
      <c r="K34" s="120"/>
      <c r="L34" s="120"/>
      <c r="M34" s="120"/>
      <c r="N34" s="120"/>
      <c r="O34" s="121">
        <f>P33*P31</f>
        <v>37931.625931034476</v>
      </c>
      <c r="P34" s="122"/>
      <c r="Q34" s="122"/>
      <c r="R34" s="63">
        <f>R33*R19</f>
        <v>62547.571130308497</v>
      </c>
    </row>
  </sheetData>
  <mergeCells count="112">
    <mergeCell ref="T20:V20"/>
    <mergeCell ref="T21:V21"/>
    <mergeCell ref="W20:X20"/>
    <mergeCell ref="W21:X21"/>
    <mergeCell ref="T22:W23"/>
    <mergeCell ref="X22:X23"/>
    <mergeCell ref="T16:U16"/>
    <mergeCell ref="W16:X16"/>
    <mergeCell ref="Z12:AA12"/>
    <mergeCell ref="T17:X17"/>
    <mergeCell ref="C15:D15"/>
    <mergeCell ref="E16:F16"/>
    <mergeCell ref="E15:F15"/>
    <mergeCell ref="E14:F14"/>
    <mergeCell ref="C16:D16"/>
    <mergeCell ref="N18:O18"/>
    <mergeCell ref="P18:Q18"/>
    <mergeCell ref="T18:X19"/>
    <mergeCell ref="M2:N2"/>
    <mergeCell ref="K2:L6"/>
    <mergeCell ref="C2:D2"/>
    <mergeCell ref="N15:O15"/>
    <mergeCell ref="P15:Q15"/>
    <mergeCell ref="N16:O16"/>
    <mergeCell ref="P16:Q16"/>
    <mergeCell ref="N17:O17"/>
    <mergeCell ref="P17:Q17"/>
    <mergeCell ref="N13:Q13"/>
    <mergeCell ref="N14:O14"/>
    <mergeCell ref="P14:Q14"/>
    <mergeCell ref="F4:G4"/>
    <mergeCell ref="F5:G5"/>
    <mergeCell ref="O2:O4"/>
    <mergeCell ref="F2:I2"/>
    <mergeCell ref="H3:I3"/>
    <mergeCell ref="H4:I4"/>
    <mergeCell ref="H5:I5"/>
    <mergeCell ref="H6:I6"/>
    <mergeCell ref="F3:G3"/>
    <mergeCell ref="A10:B10"/>
    <mergeCell ref="C10:D10"/>
    <mergeCell ref="A7:B7"/>
    <mergeCell ref="C7:D7"/>
    <mergeCell ref="A8:D8"/>
    <mergeCell ref="A9:B9"/>
    <mergeCell ref="C9:D9"/>
    <mergeCell ref="A5:B5"/>
    <mergeCell ref="C5:D5"/>
    <mergeCell ref="A6:B6"/>
    <mergeCell ref="C6:D6"/>
    <mergeCell ref="A18:B21"/>
    <mergeCell ref="A26:B26"/>
    <mergeCell ref="C26:D26"/>
    <mergeCell ref="A25:B25"/>
    <mergeCell ref="A27:B27"/>
    <mergeCell ref="C25:D25"/>
    <mergeCell ref="C27:D27"/>
    <mergeCell ref="K1:Q1"/>
    <mergeCell ref="A4:B4"/>
    <mergeCell ref="C4:D4"/>
    <mergeCell ref="A12:H12"/>
    <mergeCell ref="I12:Q12"/>
    <mergeCell ref="A3:B3"/>
    <mergeCell ref="C3:D3"/>
    <mergeCell ref="C14:D14"/>
    <mergeCell ref="C13:F13"/>
    <mergeCell ref="A1:I1"/>
    <mergeCell ref="K7:N9"/>
    <mergeCell ref="A2:B2"/>
    <mergeCell ref="F7:G7"/>
    <mergeCell ref="H7:I7"/>
    <mergeCell ref="H8:I8"/>
    <mergeCell ref="H9:I9"/>
    <mergeCell ref="H10:I10"/>
    <mergeCell ref="A30:B30"/>
    <mergeCell ref="C30:D30"/>
    <mergeCell ref="A31:B31"/>
    <mergeCell ref="C31:D31"/>
    <mergeCell ref="N33:O33"/>
    <mergeCell ref="P33:Q33"/>
    <mergeCell ref="I34:N34"/>
    <mergeCell ref="O34:Q34"/>
    <mergeCell ref="I28:Q29"/>
    <mergeCell ref="N30:Q30"/>
    <mergeCell ref="N31:O31"/>
    <mergeCell ref="N32:O32"/>
    <mergeCell ref="P31:Q31"/>
    <mergeCell ref="P32:Q32"/>
    <mergeCell ref="AG11:AJ11"/>
    <mergeCell ref="AG6:AJ6"/>
    <mergeCell ref="AG7:AJ7"/>
    <mergeCell ref="R26:R27"/>
    <mergeCell ref="AG1:AK1"/>
    <mergeCell ref="AJ2:AK2"/>
    <mergeCell ref="AG10:AJ10"/>
    <mergeCell ref="R2:S2"/>
    <mergeCell ref="A29:D29"/>
    <mergeCell ref="A22:H22"/>
    <mergeCell ref="A24:D24"/>
    <mergeCell ref="P19:Q19"/>
    <mergeCell ref="N19:O19"/>
    <mergeCell ref="N26:O27"/>
    <mergeCell ref="P26:Q27"/>
    <mergeCell ref="I22:M25"/>
    <mergeCell ref="N22:Q22"/>
    <mergeCell ref="N23:O23"/>
    <mergeCell ref="N24:O24"/>
    <mergeCell ref="P23:Q23"/>
    <mergeCell ref="P24:Q24"/>
    <mergeCell ref="N25:O25"/>
    <mergeCell ref="P25:Q25"/>
    <mergeCell ref="I20:Q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2021-12-03T04:05:00Z</dcterms:created>
  <dcterms:modified xsi:type="dcterms:W3CDTF">2022-08-16T11:26:31Z</dcterms:modified>
</cp:coreProperties>
</file>