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ЭтаКнига" defaultThemeVersion="124226"/>
  <bookViews>
    <workbookView xWindow="240" yWindow="525" windowWidth="14805" windowHeight="7590" tabRatio="794"/>
  </bookViews>
  <sheets>
    <sheet name="Наклейки" sheetId="16" r:id="rId1"/>
    <sheet name="Лазерная печать" sheetId="11" r:id="rId2"/>
    <sheet name="Лист" sheetId="9" r:id="rId3"/>
  </sheets>
  <definedNames>
    <definedName name="_xlnm._FilterDatabase" localSheetId="0" hidden="1">Наклейки!$A$1:$O$8</definedName>
    <definedName name="Подвес" localSheetId="2">Лист!$A$3:$A$4</definedName>
    <definedName name="Подвес">Лист!$A$3:$A$4</definedName>
  </definedNames>
  <calcPr calcId="145621" refMode="R1C1"/>
</workbook>
</file>

<file path=xl/calcChain.xml><?xml version="1.0" encoding="utf-8"?>
<calcChain xmlns="http://schemas.openxmlformats.org/spreadsheetml/2006/main">
  <c r="M1" i="9" l="1"/>
  <c r="M2" i="9"/>
  <c r="M3" i="9"/>
  <c r="M4" i="9"/>
  <c r="M5" i="9"/>
  <c r="M6" i="9"/>
  <c r="M7" i="9"/>
  <c r="M8" i="9"/>
  <c r="M9" i="9"/>
  <c r="M10" i="9"/>
  <c r="I11" i="9"/>
  <c r="M11" i="9"/>
  <c r="M12" i="9"/>
  <c r="M13" i="9"/>
  <c r="K20" i="9"/>
  <c r="L20" i="9"/>
  <c r="M20" i="9"/>
  <c r="N20" i="9"/>
  <c r="O20" i="9"/>
  <c r="P20" i="9"/>
  <c r="Q20" i="9"/>
  <c r="I13" i="9" l="1"/>
  <c r="I12" i="9"/>
  <c r="I14" i="9"/>
  <c r="F53" i="9"/>
  <c r="K16" i="16" l="1"/>
  <c r="M16" i="16"/>
  <c r="L16" i="16"/>
  <c r="I57" i="9" l="1"/>
  <c r="K57" i="9"/>
  <c r="J57" i="9"/>
  <c r="L57" i="9"/>
  <c r="F57" i="9"/>
  <c r="H57" i="9"/>
  <c r="G57" i="9"/>
  <c r="B2" i="16" l="1"/>
  <c r="B10" i="16" l="1"/>
  <c r="H14" i="16" l="1"/>
  <c r="F14" i="16"/>
  <c r="G41" i="9" l="1"/>
  <c r="G40" i="9"/>
  <c r="I40" i="9"/>
  <c r="D24" i="9" l="1"/>
  <c r="L51" i="9" l="1"/>
  <c r="K51" i="9"/>
  <c r="I49" i="9"/>
  <c r="I51" i="9" s="1"/>
  <c r="J51" i="9"/>
  <c r="F49" i="9"/>
  <c r="F51" i="9" s="1"/>
  <c r="H49" i="9"/>
  <c r="H51" i="9" s="1"/>
  <c r="G49" i="9"/>
  <c r="H44" i="9"/>
  <c r="G16" i="16" s="1"/>
  <c r="I44" i="9"/>
  <c r="I46" i="9" s="1"/>
  <c r="F44" i="9"/>
  <c r="G44" i="9"/>
  <c r="K46" i="9"/>
  <c r="I53" i="9"/>
  <c r="L46" i="9"/>
  <c r="J46" i="9"/>
  <c r="N3" i="16"/>
  <c r="C20" i="16" s="1"/>
  <c r="G38" i="9"/>
  <c r="N4" i="16" s="1"/>
  <c r="I45" i="9" l="1"/>
  <c r="J45" i="9"/>
  <c r="K45" i="9"/>
  <c r="G51" i="9"/>
  <c r="C7" i="16"/>
  <c r="I50" i="9"/>
  <c r="H50" i="9"/>
  <c r="L50" i="9"/>
  <c r="G50" i="9"/>
  <c r="K50" i="9"/>
  <c r="F50" i="9"/>
  <c r="J50" i="9"/>
  <c r="L45" i="9"/>
  <c r="G45" i="9"/>
  <c r="E17" i="16" s="1"/>
  <c r="F45" i="9"/>
  <c r="H46" i="9"/>
  <c r="H45" i="9"/>
  <c r="I16" i="16"/>
  <c r="D16" i="16"/>
  <c r="F46" i="9"/>
  <c r="E16" i="16"/>
  <c r="G46" i="9"/>
  <c r="L53" i="9" l="1"/>
  <c r="G17" i="16"/>
  <c r="G18" i="16" s="1"/>
  <c r="I17" i="16"/>
  <c r="I18" i="16" s="1"/>
  <c r="K17" i="16"/>
  <c r="K18" i="16" s="1"/>
  <c r="M17" i="16"/>
  <c r="M18" i="16" s="1"/>
  <c r="L17" i="16"/>
  <c r="L18" i="16" s="1"/>
  <c r="D17" i="16"/>
  <c r="D18" i="16" s="1"/>
  <c r="K53" i="9"/>
  <c r="E18" i="16"/>
  <c r="E4" i="16" l="1"/>
  <c r="E6" i="16" s="1"/>
  <c r="J5" i="11" l="1"/>
  <c r="J4" i="11"/>
  <c r="L10" i="11" l="1"/>
  <c r="K12" i="11"/>
  <c r="J12" i="11"/>
  <c r="I10" i="11"/>
  <c r="H12" i="11"/>
  <c r="G10" i="11"/>
  <c r="F10" i="11"/>
  <c r="G9" i="11"/>
  <c r="F19" i="11" l="1"/>
  <c r="L12" i="11"/>
  <c r="F12" i="11"/>
  <c r="K10" i="11"/>
  <c r="H10" i="11"/>
  <c r="G12" i="11"/>
  <c r="I12" i="11"/>
  <c r="J10" i="11"/>
  <c r="K19" i="11"/>
  <c r="K16" i="11"/>
  <c r="J18" i="11"/>
  <c r="G15" i="11"/>
  <c r="G19" i="11"/>
  <c r="K15" i="11"/>
  <c r="I11" i="11"/>
  <c r="K20" i="11"/>
  <c r="F18" i="11"/>
  <c r="I21" i="11"/>
  <c r="F14" i="11"/>
  <c r="L13" i="11"/>
  <c r="L17" i="11"/>
  <c r="L21" i="11"/>
  <c r="J14" i="11"/>
  <c r="J15" i="11"/>
  <c r="J19" i="11"/>
  <c r="I18" i="11"/>
  <c r="I17" i="11"/>
  <c r="I13" i="11"/>
  <c r="I14" i="11"/>
  <c r="L16" i="11"/>
  <c r="G11" i="11"/>
  <c r="L11" i="11"/>
  <c r="F13" i="11"/>
  <c r="J13" i="11"/>
  <c r="G14" i="11"/>
  <c r="K14" i="11"/>
  <c r="H15" i="11"/>
  <c r="L15" i="11"/>
  <c r="I16" i="11"/>
  <c r="F17" i="11"/>
  <c r="J17" i="11"/>
  <c r="G18" i="11"/>
  <c r="K18" i="11"/>
  <c r="H19" i="11"/>
  <c r="L19" i="11"/>
  <c r="I20" i="11"/>
  <c r="F21" i="11"/>
  <c r="J21" i="11"/>
  <c r="J11" i="11"/>
  <c r="H20" i="11"/>
  <c r="K11" i="11"/>
  <c r="H11" i="11"/>
  <c r="G13" i="11"/>
  <c r="K13" i="11"/>
  <c r="H14" i="11"/>
  <c r="L14" i="11"/>
  <c r="I15" i="11"/>
  <c r="F16" i="11"/>
  <c r="J16" i="11"/>
  <c r="G17" i="11"/>
  <c r="K17" i="11"/>
  <c r="H18" i="11"/>
  <c r="L18" i="11"/>
  <c r="I19" i="11"/>
  <c r="F20" i="11"/>
  <c r="J20" i="11"/>
  <c r="G21" i="11"/>
  <c r="K21" i="11"/>
  <c r="F11" i="11"/>
  <c r="H16" i="11"/>
  <c r="L20" i="11"/>
  <c r="H13" i="11"/>
  <c r="F15" i="11"/>
  <c r="G16" i="11"/>
  <c r="H17" i="11"/>
  <c r="G20" i="11"/>
  <c r="H21" i="11"/>
  <c r="L9" i="11"/>
  <c r="I9" i="11"/>
  <c r="F9" i="11"/>
  <c r="J9" i="11"/>
  <c r="K9" i="11"/>
  <c r="H9" i="11"/>
</calcChain>
</file>

<file path=xl/sharedStrings.xml><?xml version="1.0" encoding="utf-8"?>
<sst xmlns="http://schemas.openxmlformats.org/spreadsheetml/2006/main" count="167" uniqueCount="141">
  <si>
    <t>Бумага</t>
  </si>
  <si>
    <t>бумага</t>
  </si>
  <si>
    <t>без покрытия (офсетная)</t>
  </si>
  <si>
    <t>мелованная</t>
  </si>
  <si>
    <t>самоклейка</t>
  </si>
  <si>
    <t>"лён" (белая)</t>
  </si>
  <si>
    <t>Тираж</t>
  </si>
  <si>
    <t>1-5</t>
  </si>
  <si>
    <t>6-20</t>
  </si>
  <si>
    <t>21-50</t>
  </si>
  <si>
    <t>51-100</t>
  </si>
  <si>
    <t>101-200</t>
  </si>
  <si>
    <t>201-500</t>
  </si>
  <si>
    <t>501+</t>
  </si>
  <si>
    <t>А4 (210х297)</t>
  </si>
  <si>
    <t>А3 (297х420)</t>
  </si>
  <si>
    <t>А3+(320х450)</t>
  </si>
  <si>
    <t>Формат листа:</t>
  </si>
  <si>
    <t>Нет (4+0)</t>
  </si>
  <si>
    <t>Да (4+4)</t>
  </si>
  <si>
    <t>Цена А4</t>
  </si>
  <si>
    <t>Коэф продажный бумага</t>
  </si>
  <si>
    <t>Двухсторонняя печать:</t>
  </si>
  <si>
    <t>`</t>
  </si>
  <si>
    <t>коэф</t>
  </si>
  <si>
    <t>цена</t>
  </si>
  <si>
    <t>Тираж, шт. (в одном заказе)</t>
  </si>
  <si>
    <t>Плотность, г/м²</t>
  </si>
  <si>
    <t>без
покрытия 
(офсетная)</t>
  </si>
  <si>
    <t>"лён", белая</t>
  </si>
  <si>
    <t>Техническое поле на подрез (для любого вида резки) должно быть не меньше 2 мм. с каждого края.</t>
  </si>
  <si>
    <t>Цены могут измениться в пределах 20% от стоимости прайса, если заливка будет минимальной или максимальной!</t>
  </si>
  <si>
    <t>Лазерная печать на ЦПМ XEROX</t>
  </si>
  <si>
    <r>
      <t xml:space="preserve">     80</t>
    </r>
    <r>
      <rPr>
        <i/>
        <sz val="10"/>
        <color theme="1"/>
        <rFont val="Calibri"/>
        <family val="2"/>
        <charset val="204"/>
        <scheme val="minor"/>
      </rPr>
      <t xml:space="preserve"> (А4,А3)</t>
    </r>
  </si>
  <si>
    <r>
      <t xml:space="preserve">     120</t>
    </r>
    <r>
      <rPr>
        <i/>
        <sz val="10"/>
        <color theme="1"/>
        <rFont val="Calibri"/>
        <family val="2"/>
        <charset val="204"/>
        <scheme val="minor"/>
      </rPr>
      <t xml:space="preserve"> (А3+)</t>
    </r>
  </si>
  <si>
    <r>
      <t xml:space="preserve">     160</t>
    </r>
    <r>
      <rPr>
        <i/>
        <sz val="10"/>
        <color theme="1"/>
        <rFont val="Calibri"/>
        <family val="2"/>
        <charset val="204"/>
        <scheme val="minor"/>
      </rPr>
      <t xml:space="preserve"> (А4,А3)</t>
    </r>
  </si>
  <si>
    <r>
      <t xml:space="preserve">     200</t>
    </r>
    <r>
      <rPr>
        <i/>
        <sz val="10"/>
        <color theme="1"/>
        <rFont val="Calibri"/>
        <family val="2"/>
        <charset val="204"/>
        <scheme val="minor"/>
      </rPr>
      <t xml:space="preserve"> (А3+)</t>
    </r>
  </si>
  <si>
    <r>
      <t xml:space="preserve">     300</t>
    </r>
    <r>
      <rPr>
        <i/>
        <sz val="10"/>
        <color theme="1"/>
        <rFont val="Calibri"/>
        <family val="2"/>
        <charset val="204"/>
        <scheme val="minor"/>
      </rPr>
      <t xml:space="preserve"> (А4,А3)</t>
    </r>
  </si>
  <si>
    <r>
      <t xml:space="preserve">     130</t>
    </r>
    <r>
      <rPr>
        <i/>
        <sz val="10"/>
        <color theme="1"/>
        <rFont val="Calibri"/>
        <family val="2"/>
        <charset val="204"/>
        <scheme val="minor"/>
      </rPr>
      <t xml:space="preserve"> (А3+)</t>
    </r>
  </si>
  <si>
    <r>
      <t xml:space="preserve">     150</t>
    </r>
    <r>
      <rPr>
        <i/>
        <sz val="10"/>
        <color theme="1"/>
        <rFont val="Calibri"/>
        <family val="2"/>
        <charset val="204"/>
        <scheme val="minor"/>
      </rPr>
      <t xml:space="preserve"> (А3+)</t>
    </r>
  </si>
  <si>
    <r>
      <t xml:space="preserve">     170</t>
    </r>
    <r>
      <rPr>
        <i/>
        <sz val="10"/>
        <color theme="1"/>
        <rFont val="Calibri"/>
        <family val="2"/>
        <charset val="204"/>
        <scheme val="minor"/>
      </rPr>
      <t xml:space="preserve"> (А3+)</t>
    </r>
  </si>
  <si>
    <r>
      <t xml:space="preserve">     250</t>
    </r>
    <r>
      <rPr>
        <i/>
        <sz val="10"/>
        <color theme="1"/>
        <rFont val="Calibri"/>
        <family val="2"/>
        <charset val="204"/>
        <scheme val="minor"/>
      </rPr>
      <t xml:space="preserve"> (А3+)</t>
    </r>
  </si>
  <si>
    <r>
      <t xml:space="preserve">     300</t>
    </r>
    <r>
      <rPr>
        <i/>
        <sz val="10"/>
        <color theme="1"/>
        <rFont val="Calibri"/>
        <family val="2"/>
        <charset val="204"/>
        <scheme val="minor"/>
      </rPr>
      <t xml:space="preserve"> (А3+)</t>
    </r>
  </si>
  <si>
    <r>
      <t xml:space="preserve">     130</t>
    </r>
    <r>
      <rPr>
        <i/>
        <sz val="10"/>
        <color theme="1"/>
        <rFont val="Calibri"/>
        <family val="2"/>
        <charset val="204"/>
        <scheme val="minor"/>
      </rPr>
      <t xml:space="preserve"> (А4, А3+)</t>
    </r>
  </si>
  <si>
    <r>
      <t xml:space="preserve">     280</t>
    </r>
    <r>
      <rPr>
        <i/>
        <sz val="10"/>
        <color theme="1"/>
        <rFont val="Calibri"/>
        <family val="2"/>
        <charset val="204"/>
        <scheme val="minor"/>
      </rPr>
      <t xml:space="preserve"> (А3+)</t>
    </r>
  </si>
  <si>
    <t>ошибка размер</t>
  </si>
  <si>
    <t>Клиент</t>
  </si>
  <si>
    <t>Партнёр</t>
  </si>
  <si>
    <t>Резка стопы на гильотине (до 30 мм. высота стопы) - 80 тг/рез.</t>
  </si>
  <si>
    <t>Круглые, см.</t>
  </si>
  <si>
    <t>Квадратные, см.</t>
  </si>
  <si>
    <t>2х2</t>
  </si>
  <si>
    <t>3х3</t>
  </si>
  <si>
    <t>5х5</t>
  </si>
  <si>
    <t>4х4</t>
  </si>
  <si>
    <t>6х6</t>
  </si>
  <si>
    <t>7х7</t>
  </si>
  <si>
    <t>8х8</t>
  </si>
  <si>
    <t>9х9</t>
  </si>
  <si>
    <t>10х10</t>
  </si>
  <si>
    <t>Прямоугольные, см.</t>
  </si>
  <si>
    <t>3х2</t>
  </si>
  <si>
    <t>5х3</t>
  </si>
  <si>
    <t>6х4</t>
  </si>
  <si>
    <t>8х5</t>
  </si>
  <si>
    <t>9х6</t>
  </si>
  <si>
    <t>10х7</t>
  </si>
  <si>
    <t>12х8</t>
  </si>
  <si>
    <t>13х9</t>
  </si>
  <si>
    <t>15х10</t>
  </si>
  <si>
    <t>Длинные, см</t>
  </si>
  <si>
    <t>5х2</t>
  </si>
  <si>
    <t>8х3</t>
  </si>
  <si>
    <t>10х4</t>
  </si>
  <si>
    <t>12х5</t>
  </si>
  <si>
    <t>15х6</t>
  </si>
  <si>
    <t>20х7</t>
  </si>
  <si>
    <t>40</t>
  </si>
  <si>
    <t>60</t>
  </si>
  <si>
    <t>104</t>
  </si>
  <si>
    <t>28</t>
  </si>
  <si>
    <t>18</t>
  </si>
  <si>
    <t>15</t>
  </si>
  <si>
    <t>12</t>
  </si>
  <si>
    <t>8</t>
  </si>
  <si>
    <t>Тираж, шт:</t>
  </si>
  <si>
    <t>Цена за шт.</t>
  </si>
  <si>
    <t>Резка [ШТУЧНО]</t>
  </si>
  <si>
    <t>Резка [АВТО]</t>
  </si>
  <si>
    <t>Ширина наклейки, см</t>
  </si>
  <si>
    <t>Высота наклейки, см</t>
  </si>
  <si>
    <t>до 10 листов</t>
  </si>
  <si>
    <t>от 10 листов</t>
  </si>
  <si>
    <t>0,105 м.кв.</t>
  </si>
  <si>
    <t>0,12 м.кв.</t>
  </si>
  <si>
    <t>Размер наклейки</t>
  </si>
  <si>
    <t>Тираж, шт.:</t>
  </si>
  <si>
    <t>Заказ, тг.</t>
  </si>
  <si>
    <t>Ширина, мм.:</t>
  </si>
  <si>
    <t>Высота, мм.:</t>
  </si>
  <si>
    <t>цена заказа, тг.:</t>
  </si>
  <si>
    <t>Гарантия лучшей цены! Нашли дешевле - сделаем скидку!</t>
  </si>
  <si>
    <t>x</t>
  </si>
  <si>
    <t>Размер наклейки в мм.:</t>
  </si>
  <si>
    <t>цена за 1 шт.:</t>
  </si>
  <si>
    <t>Наклеек на листе [АВТО] примерно</t>
  </si>
  <si>
    <t>*</t>
  </si>
  <si>
    <r>
      <t xml:space="preserve">наклеек или от   </t>
    </r>
    <r>
      <rPr>
        <b/>
        <sz val="12.5"/>
        <color rgb="FF464646"/>
        <rFont val="Calibri"/>
        <family val="2"/>
        <charset val="204"/>
        <scheme val="minor"/>
      </rPr>
      <t xml:space="preserve">5  </t>
    </r>
    <r>
      <rPr>
        <sz val="12.5"/>
        <color rgb="FF464646"/>
        <rFont val="Calibri"/>
        <family val="2"/>
        <charset val="204"/>
        <scheme val="minor"/>
      </rPr>
      <t xml:space="preserve"> листов,</t>
    </r>
  </si>
  <si>
    <t xml:space="preserve">Надо примерно от </t>
  </si>
  <si>
    <r>
      <t xml:space="preserve">* Точное количество листов (и наклеек на 1 листе) 
оператор сообщит после проверки макета!
 </t>
    </r>
    <r>
      <rPr>
        <i/>
        <sz val="8"/>
        <color theme="0" tint="-0.499984740745262"/>
        <rFont val="Calibri"/>
        <family val="2"/>
        <scheme val="minor"/>
      </rPr>
      <t xml:space="preserve"> Для корректной резки, печатное поле на вылет должно быть не менее 1 мм.</t>
    </r>
  </si>
  <si>
    <t>Резка ручная до 100 шт. - 10 тг., от 100 шт. - 7 тг.</t>
  </si>
  <si>
    <t>если меньше, то будет 1л по 550тг, 2-4л по 450тг</t>
  </si>
  <si>
    <t>Цена, шт.</t>
  </si>
  <si>
    <t>Листов пр.</t>
  </si>
  <si>
    <t>Базовая цена листа</t>
  </si>
  <si>
    <t>Цена листа от количества</t>
  </si>
  <si>
    <t>Шт. на листе</t>
  </si>
  <si>
    <t>5-11шт</t>
  </si>
  <si>
    <t>12-31шт</t>
  </si>
  <si>
    <t>51-100шт</t>
  </si>
  <si>
    <t>101-200шт</t>
  </si>
  <si>
    <t>301-1000шт</t>
  </si>
  <si>
    <t>если до шт.</t>
  </si>
  <si>
    <t>Цена листа</t>
  </si>
  <si>
    <t>тираж, шт.:</t>
  </si>
  <si>
    <t>Цена за шт. от кол-ва</t>
  </si>
  <si>
    <t>32-54шт</t>
  </si>
  <si>
    <t>201-400шт</t>
  </si>
  <si>
    <r>
      <rPr>
        <b/>
        <sz val="16"/>
        <color theme="0" tint="-0.499984740745262"/>
        <rFont val="Calibri"/>
        <family val="2"/>
        <charset val="204"/>
        <scheme val="minor"/>
      </rPr>
      <t>Примерно</t>
    </r>
    <r>
      <rPr>
        <sz val="16"/>
        <color theme="0" tint="-0.499984740745262"/>
        <rFont val="Calibri"/>
        <family val="2"/>
        <scheme val="minor"/>
      </rPr>
      <t xml:space="preserve"> наклеек на листе:</t>
    </r>
  </si>
  <si>
    <r>
      <rPr>
        <b/>
        <sz val="16"/>
        <color theme="0" tint="-0.499984740745262"/>
        <rFont val="Calibri"/>
        <family val="2"/>
        <charset val="204"/>
        <scheme val="minor"/>
      </rPr>
      <t>Примерно</t>
    </r>
    <r>
      <rPr>
        <sz val="16"/>
        <color theme="0" tint="-0.499984740745262"/>
        <rFont val="Calibri"/>
        <family val="2"/>
        <scheme val="minor"/>
      </rPr>
      <t xml:space="preserve"> листов будет:</t>
    </r>
  </si>
  <si>
    <t>Листов примерно</t>
  </si>
  <si>
    <t>Тираж:</t>
  </si>
  <si>
    <t>КЛИЕНТ</t>
  </si>
  <si>
    <t>ПАРТНЁР</t>
  </si>
  <si>
    <t>Коммерческое предложение действует в течение 3х рабочих дней</t>
  </si>
  <si>
    <r>
      <t xml:space="preserve">Отправки: </t>
    </r>
    <r>
      <rPr>
        <b/>
        <i/>
        <sz val="11"/>
        <color theme="0" tint="-0.499984740745262"/>
        <rFont val="Calibri"/>
        <family val="2"/>
        <charset val="204"/>
        <scheme val="minor"/>
      </rPr>
      <t>Казпочта Пн-Пт 1000тг</t>
    </r>
    <r>
      <rPr>
        <i/>
        <sz val="11"/>
        <color theme="0" tint="-0.499984740745262"/>
        <rFont val="Calibri"/>
        <family val="2"/>
        <charset val="204"/>
        <scheme val="minor"/>
      </rPr>
      <t>, CDEK 3000тг, индрайвер 4000тг</t>
    </r>
  </si>
  <si>
    <r>
      <t>Срок изготовления</t>
    </r>
    <r>
      <rPr>
        <b/>
        <i/>
        <sz val="11"/>
        <color theme="0" tint="-0.499984740745262"/>
        <rFont val="Calibri"/>
        <family val="2"/>
        <charset val="204"/>
        <scheme val="minor"/>
      </rPr>
      <t xml:space="preserve"> 1 день</t>
    </r>
    <r>
      <rPr>
        <i/>
        <sz val="11"/>
        <color theme="0" tint="-0.499984740745262"/>
        <rFont val="Calibri"/>
        <family val="2"/>
        <charset val="204"/>
        <scheme val="minor"/>
      </rPr>
      <t>, отправки из Алматы и Павлодара</t>
    </r>
  </si>
  <si>
    <t>тг.</t>
  </si>
  <si>
    <t>Ламинация:   +</t>
  </si>
  <si>
    <t xml:space="preserve">       Дополнительная защиту от влаги и конденсата. Стикеры становятся более яркими и глянцевыми.</t>
  </si>
  <si>
    <t xml:space="preserve">      * Холодные напитки * Мороженое * Полуфабрикаты * Глянцевый вид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</si>
</sst>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5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i/>
      <sz val="15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3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i/>
      <sz val="9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i/>
      <sz val="6"/>
      <color theme="0" tint="-0.499984740745262"/>
      <name val="Calibri"/>
      <family val="2"/>
      <charset val="204"/>
      <scheme val="minor"/>
    </font>
    <font>
      <sz val="7"/>
      <color theme="0" tint="-0.499984740745262"/>
      <name val="Calibri"/>
      <family val="2"/>
      <scheme val="minor"/>
    </font>
    <font>
      <sz val="6"/>
      <color theme="0"/>
      <name val="Calibri"/>
      <family val="2"/>
      <scheme val="minor"/>
    </font>
    <font>
      <sz val="11"/>
      <color rgb="FF464646"/>
      <name val="Calibri"/>
      <family val="2"/>
      <charset val="204"/>
      <scheme val="minor"/>
    </font>
    <font>
      <b/>
      <sz val="15"/>
      <color rgb="FF464646"/>
      <name val="Calibri"/>
      <family val="2"/>
      <charset val="204"/>
      <scheme val="minor"/>
    </font>
    <font>
      <sz val="11"/>
      <color theme="9" tint="0.79998168889431442"/>
      <name val="Calibri"/>
      <family val="2"/>
      <charset val="204"/>
      <scheme val="minor"/>
    </font>
    <font>
      <b/>
      <sz val="20"/>
      <color rgb="FFFFC000"/>
      <name val="Calibri"/>
      <family val="2"/>
      <charset val="204"/>
      <scheme val="minor"/>
    </font>
    <font>
      <sz val="15"/>
      <color theme="0"/>
      <name val="Calibri"/>
      <family val="2"/>
      <charset val="204"/>
      <scheme val="minor"/>
    </font>
    <font>
      <i/>
      <sz val="15"/>
      <color theme="0" tint="-0.499984740745262"/>
      <name val="Calibri"/>
      <family val="2"/>
      <scheme val="minor"/>
    </font>
    <font>
      <sz val="15"/>
      <color rgb="FF464646"/>
      <name val="Calibri"/>
      <family val="2"/>
      <charset val="204"/>
      <scheme val="minor"/>
    </font>
    <font>
      <sz val="15"/>
      <color theme="9" tint="0.79998168889431442"/>
      <name val="Calibri"/>
      <family val="2"/>
      <charset val="204"/>
      <scheme val="minor"/>
    </font>
    <font>
      <i/>
      <sz val="12"/>
      <color theme="1" tint="0.499984740745262"/>
      <name val="Calibri"/>
      <family val="2"/>
      <charset val="204"/>
      <scheme val="minor"/>
    </font>
    <font>
      <b/>
      <sz val="18"/>
      <color rgb="FFFFC000"/>
      <name val="Calibri"/>
      <family val="2"/>
      <charset val="204"/>
      <scheme val="minor"/>
    </font>
    <font>
      <sz val="18"/>
      <color theme="0"/>
      <name val="Calibri"/>
      <family val="2"/>
      <scheme val="minor"/>
    </font>
    <font>
      <i/>
      <sz val="15"/>
      <color theme="0" tint="-0.14999847407452621"/>
      <name val="Calibri"/>
      <family val="2"/>
      <charset val="204"/>
      <scheme val="minor"/>
    </font>
    <font>
      <sz val="15"/>
      <color theme="0" tint="-4.9989318521683403E-2"/>
      <name val="Calibri"/>
      <family val="2"/>
      <charset val="204"/>
      <scheme val="minor"/>
    </font>
    <font>
      <i/>
      <sz val="15"/>
      <color theme="7" tint="0.59999389629810485"/>
      <name val="Calibri"/>
      <family val="2"/>
      <charset val="204"/>
      <scheme val="minor"/>
    </font>
    <font>
      <sz val="15"/>
      <color theme="7" tint="0.59999389629810485"/>
      <name val="Calibri"/>
      <family val="2"/>
      <charset val="204"/>
      <scheme val="minor"/>
    </font>
    <font>
      <i/>
      <sz val="15"/>
      <color theme="0" tint="-4.9989318521683403E-2"/>
      <name val="Calibri"/>
      <family val="2"/>
      <charset val="204"/>
      <scheme val="minor"/>
    </font>
    <font>
      <i/>
      <sz val="13"/>
      <color theme="9" tint="0.79998168889431442"/>
      <name val="Calibri"/>
      <family val="2"/>
      <charset val="204"/>
      <scheme val="minor"/>
    </font>
    <font>
      <i/>
      <sz val="20"/>
      <color theme="0" tint="-0.14999847407452621"/>
      <name val="Calibri"/>
      <family val="2"/>
      <charset val="204"/>
      <scheme val="minor"/>
    </font>
    <font>
      <b/>
      <sz val="15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i/>
      <sz val="6"/>
      <color theme="0" tint="-0.14999847407452621"/>
      <name val="Calibri"/>
      <family val="2"/>
      <charset val="204"/>
      <scheme val="minor"/>
    </font>
    <font>
      <i/>
      <sz val="9"/>
      <color theme="0" tint="-0.499984740745262"/>
      <name val="Calibri"/>
      <family val="2"/>
      <charset val="204"/>
      <scheme val="minor"/>
    </font>
    <font>
      <i/>
      <sz val="9"/>
      <color theme="0" tint="-0.14999847407452621"/>
      <name val="Calibri"/>
      <family val="2"/>
      <charset val="204"/>
      <scheme val="minor"/>
    </font>
    <font>
      <b/>
      <sz val="13"/>
      <color rgb="FF464646"/>
      <name val="Calibri"/>
      <family val="2"/>
      <charset val="204"/>
      <scheme val="minor"/>
    </font>
    <font>
      <i/>
      <sz val="12"/>
      <color theme="0" tint="-0.499984740745262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12"/>
      <color rgb="FF464646"/>
      <name val="Calibri"/>
      <family val="2"/>
      <charset val="204"/>
      <scheme val="minor"/>
    </font>
    <font>
      <b/>
      <sz val="12"/>
      <color rgb="FF464646"/>
      <name val="Calibri"/>
      <family val="2"/>
      <charset val="204"/>
      <scheme val="minor"/>
    </font>
    <font>
      <sz val="12.5"/>
      <color rgb="FF464646"/>
      <name val="Calibri"/>
      <family val="2"/>
      <charset val="204"/>
      <scheme val="minor"/>
    </font>
    <font>
      <b/>
      <sz val="12.5"/>
      <color rgb="FF464646"/>
      <name val="Calibri"/>
      <family val="2"/>
      <charset val="204"/>
      <scheme val="minor"/>
    </font>
    <font>
      <i/>
      <sz val="20"/>
      <color theme="9" tint="0.79998168889431442"/>
      <name val="Calibri"/>
      <family val="2"/>
      <charset val="204"/>
      <scheme val="minor"/>
    </font>
    <font>
      <i/>
      <sz val="13"/>
      <color theme="0" tint="-0.14999847407452621"/>
      <name val="Calibri"/>
      <family val="2"/>
      <charset val="204"/>
      <scheme val="minor"/>
    </font>
    <font>
      <i/>
      <sz val="15"/>
      <color theme="1" tint="0.499984740745262"/>
      <name val="Calibri"/>
      <family val="2"/>
      <charset val="204"/>
      <scheme val="minor"/>
    </font>
    <font>
      <i/>
      <sz val="9"/>
      <color theme="1" tint="0.499984740745262"/>
      <name val="Calibri"/>
      <family val="2"/>
      <charset val="204"/>
      <scheme val="minor"/>
    </font>
    <font>
      <b/>
      <i/>
      <sz val="15"/>
      <color theme="0"/>
      <name val="Calibri"/>
      <family val="2"/>
      <charset val="204"/>
      <scheme val="minor"/>
    </font>
    <font>
      <i/>
      <sz val="13"/>
      <color theme="0"/>
      <name val="Calibri"/>
      <family val="2"/>
      <charset val="204"/>
      <scheme val="minor"/>
    </font>
    <font>
      <i/>
      <sz val="15"/>
      <color theme="6" tint="0.59999389629810485"/>
      <name val="Calibri"/>
      <family val="2"/>
      <charset val="204"/>
      <scheme val="minor"/>
    </font>
    <font>
      <i/>
      <sz val="6"/>
      <color theme="9" tint="0.79998168889431442"/>
      <name val="Calibri"/>
      <family val="2"/>
      <charset val="204"/>
      <scheme val="minor"/>
    </font>
    <font>
      <sz val="16"/>
      <color theme="0" tint="-0.499984740745262"/>
      <name val="Calibri"/>
      <family val="2"/>
      <scheme val="minor"/>
    </font>
    <font>
      <i/>
      <sz val="14"/>
      <color theme="0" tint="-0.14999847407452621"/>
      <name val="Calibri"/>
      <family val="2"/>
      <charset val="204"/>
      <scheme val="minor"/>
    </font>
    <font>
      <b/>
      <sz val="25"/>
      <color theme="0"/>
      <name val="Calibri"/>
      <family val="2"/>
      <charset val="204"/>
      <scheme val="minor"/>
    </font>
    <font>
      <b/>
      <sz val="25"/>
      <color rgb="FFFFC000"/>
      <name val="Calibri"/>
      <family val="2"/>
      <charset val="204"/>
      <scheme val="minor"/>
    </font>
    <font>
      <b/>
      <u/>
      <sz val="20"/>
      <color theme="0"/>
      <name val="Calibri"/>
      <family val="2"/>
      <charset val="204"/>
      <scheme val="minor"/>
    </font>
    <font>
      <sz val="13"/>
      <color theme="9" tint="0.79998168889431442"/>
      <name val="Calibri"/>
      <family val="2"/>
      <charset val="204"/>
      <scheme val="minor"/>
    </font>
    <font>
      <b/>
      <sz val="15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i/>
      <sz val="11"/>
      <color theme="0" tint="-0.499984740745262"/>
      <name val="Calibri"/>
      <family val="2"/>
      <charset val="204"/>
      <scheme val="minor"/>
    </font>
    <font>
      <b/>
      <sz val="16"/>
      <color theme="0" tint="-0.499984740745262"/>
      <name val="Calibri"/>
      <family val="2"/>
      <charset val="204"/>
      <scheme val="minor"/>
    </font>
    <font>
      <sz val="16"/>
      <color theme="0" tint="-0.499984740745262"/>
      <name val="Calibri"/>
      <family val="2"/>
      <charset val="204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3"/>
      <color theme="4" tint="-0.249977111117893"/>
      <name val="Calibri"/>
      <family val="2"/>
      <charset val="204"/>
      <scheme val="minor"/>
    </font>
    <font>
      <i/>
      <sz val="8"/>
      <color theme="4" tint="-0.249977111117893"/>
      <name val="Calibri"/>
      <family val="2"/>
      <charset val="204"/>
      <scheme val="minor"/>
    </font>
    <font>
      <i/>
      <sz val="8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3"/>
      <color theme="8" tint="0.79998168889431442"/>
      <name val="Calibri"/>
      <family val="2"/>
      <charset val="204"/>
      <scheme val="minor"/>
    </font>
    <font>
      <i/>
      <sz val="15"/>
      <color theme="8" tint="0.79998168889431442"/>
      <name val="Calibri"/>
      <family val="2"/>
      <charset val="204"/>
      <scheme val="minor"/>
    </font>
    <font>
      <i/>
      <sz val="13"/>
      <color theme="8" tint="0.79998168889431442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46464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4">
    <xf numFmtId="0" fontId="0" fillId="0" borderId="0" xfId="0"/>
    <xf numFmtId="0" fontId="0" fillId="0" borderId="0" xfId="0" applyProtection="1">
      <protection hidden="1"/>
    </xf>
    <xf numFmtId="0" fontId="5" fillId="2" borderId="0" xfId="0" applyFont="1" applyFill="1" applyProtection="1">
      <protection hidden="1"/>
    </xf>
    <xf numFmtId="14" fontId="1" fillId="2" borderId="0" xfId="0" applyNumberFormat="1" applyFont="1" applyFill="1" applyAlignment="1" applyProtection="1">
      <alignment horizontal="left"/>
      <protection hidden="1"/>
    </xf>
    <xf numFmtId="0" fontId="6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right"/>
      <protection hidden="1"/>
    </xf>
    <xf numFmtId="0" fontId="4" fillId="0" borderId="0" xfId="0" applyFont="1" applyFill="1" applyProtection="1">
      <protection hidden="1"/>
    </xf>
    <xf numFmtId="0" fontId="9" fillId="4" borderId="1" xfId="0" applyFont="1" applyFill="1" applyBorder="1" applyAlignment="1" applyProtection="1">
      <alignment horizontal="right"/>
      <protection hidden="1"/>
    </xf>
    <xf numFmtId="49" fontId="10" fillId="5" borderId="1" xfId="0" applyNumberFormat="1" applyFont="1" applyFill="1" applyBorder="1" applyAlignment="1" applyProtection="1">
      <alignment horizontal="center"/>
      <protection hidden="1"/>
    </xf>
    <xf numFmtId="1" fontId="3" fillId="4" borderId="1" xfId="0" applyNumberFormat="1" applyFont="1" applyFill="1" applyBorder="1" applyAlignment="1" applyProtection="1">
      <alignment horizontal="center"/>
      <protection hidden="1"/>
    </xf>
    <xf numFmtId="1" fontId="3" fillId="6" borderId="1" xfId="0" applyNumberFormat="1" applyFont="1" applyFill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2" borderId="0" xfId="0" applyFill="1" applyBorder="1" applyProtection="1"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1" fontId="3" fillId="2" borderId="0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Protection="1">
      <protection hidden="1"/>
    </xf>
    <xf numFmtId="0" fontId="10" fillId="4" borderId="1" xfId="0" applyFont="1" applyFill="1" applyBorder="1" applyAlignment="1" applyProtection="1">
      <alignment horizontal="left"/>
      <protection hidden="1"/>
    </xf>
    <xf numFmtId="0" fontId="10" fillId="6" borderId="1" xfId="0" applyFont="1" applyFill="1" applyBorder="1" applyAlignment="1" applyProtection="1">
      <alignment horizontal="left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vertical="top"/>
      <protection hidden="1"/>
    </xf>
    <xf numFmtId="0" fontId="13" fillId="2" borderId="0" xfId="0" applyFont="1" applyFill="1" applyProtection="1">
      <protection hidden="1"/>
    </xf>
    <xf numFmtId="0" fontId="0" fillId="0" borderId="0" xfId="0" applyFont="1" applyProtection="1">
      <protection hidden="1"/>
    </xf>
    <xf numFmtId="0" fontId="0" fillId="10" borderId="0" xfId="0" applyFont="1" applyFill="1" applyBorder="1" applyProtection="1">
      <protection hidden="1"/>
    </xf>
    <xf numFmtId="0" fontId="23" fillId="10" borderId="0" xfId="0" applyFont="1" applyFill="1" applyBorder="1" applyAlignment="1" applyProtection="1">
      <protection hidden="1"/>
    </xf>
    <xf numFmtId="0" fontId="0" fillId="10" borderId="0" xfId="0" applyFont="1" applyFill="1" applyBorder="1" applyAlignment="1" applyProtection="1">
      <protection hidden="1"/>
    </xf>
    <xf numFmtId="0" fontId="0" fillId="10" borderId="0" xfId="0" applyFont="1" applyFill="1" applyProtection="1">
      <protection hidden="1"/>
    </xf>
    <xf numFmtId="0" fontId="0" fillId="2" borderId="0" xfId="0" applyFont="1" applyFill="1" applyProtection="1">
      <protection hidden="1"/>
    </xf>
    <xf numFmtId="0" fontId="0" fillId="2" borderId="0" xfId="0" applyFont="1" applyFill="1" applyBorder="1" applyProtection="1">
      <protection hidden="1"/>
    </xf>
    <xf numFmtId="0" fontId="14" fillId="2" borderId="0" xfId="0" applyFont="1" applyFill="1" applyBorder="1" applyAlignment="1" applyProtection="1">
      <protection hidden="1"/>
    </xf>
    <xf numFmtId="0" fontId="24" fillId="10" borderId="0" xfId="0" applyFont="1" applyFill="1" applyBorder="1" applyAlignment="1" applyProtection="1">
      <alignment horizontal="right" vertical="center"/>
      <protection hidden="1"/>
    </xf>
    <xf numFmtId="3" fontId="14" fillId="2" borderId="0" xfId="0" applyNumberFormat="1" applyFont="1" applyFill="1" applyBorder="1" applyAlignment="1" applyProtection="1">
      <protection hidden="1"/>
    </xf>
    <xf numFmtId="0" fontId="17" fillId="10" borderId="0" xfId="0" applyFont="1" applyFill="1" applyBorder="1" applyAlignment="1" applyProtection="1">
      <alignment vertical="top"/>
      <protection hidden="1"/>
    </xf>
    <xf numFmtId="0" fontId="19" fillId="10" borderId="0" xfId="0" applyFont="1" applyFill="1" applyBorder="1" applyAlignment="1" applyProtection="1">
      <alignment vertical="center"/>
      <protection hidden="1"/>
    </xf>
    <xf numFmtId="0" fontId="20" fillId="10" borderId="0" xfId="0" applyFont="1" applyFill="1" applyBorder="1" applyProtection="1">
      <protection hidden="1"/>
    </xf>
    <xf numFmtId="0" fontId="40" fillId="10" borderId="0" xfId="0" applyFont="1" applyFill="1" applyBorder="1" applyAlignment="1" applyProtection="1">
      <alignment horizontal="center" vertical="top"/>
      <protection hidden="1"/>
    </xf>
    <xf numFmtId="0" fontId="17" fillId="10" borderId="0" xfId="0" applyFont="1" applyFill="1" applyBorder="1" applyAlignment="1" applyProtection="1">
      <alignment horizontal="center" vertical="top"/>
      <protection hidden="1"/>
    </xf>
    <xf numFmtId="0" fontId="17" fillId="10" borderId="12" xfId="0" applyFont="1" applyFill="1" applyBorder="1" applyAlignment="1" applyProtection="1">
      <alignment vertical="top"/>
      <protection hidden="1"/>
    </xf>
    <xf numFmtId="0" fontId="0" fillId="10" borderId="5" xfId="0" applyFont="1" applyFill="1" applyBorder="1" applyAlignment="1" applyProtection="1">
      <alignment vertical="top"/>
      <protection hidden="1"/>
    </xf>
    <xf numFmtId="0" fontId="38" fillId="10" borderId="0" xfId="0" applyFont="1" applyFill="1" applyBorder="1" applyAlignment="1" applyProtection="1">
      <alignment vertical="top"/>
      <protection hidden="1"/>
    </xf>
    <xf numFmtId="0" fontId="39" fillId="10" borderId="0" xfId="0" applyFont="1" applyFill="1" applyBorder="1" applyAlignment="1" applyProtection="1">
      <alignment vertical="top"/>
      <protection hidden="1"/>
    </xf>
    <xf numFmtId="0" fontId="17" fillId="10" borderId="15" xfId="0" applyFont="1" applyFill="1" applyBorder="1" applyAlignment="1" applyProtection="1">
      <alignment vertical="top"/>
      <protection hidden="1"/>
    </xf>
    <xf numFmtId="0" fontId="0" fillId="2" borderId="0" xfId="0" applyFont="1" applyFill="1" applyAlignment="1" applyProtection="1">
      <alignment vertical="top"/>
      <protection hidden="1"/>
    </xf>
    <xf numFmtId="0" fontId="0" fillId="0" borderId="0" xfId="0" applyFont="1" applyAlignment="1" applyProtection="1">
      <alignment vertical="top"/>
      <protection hidden="1"/>
    </xf>
    <xf numFmtId="0" fontId="37" fillId="10" borderId="0" xfId="0" applyFont="1" applyFill="1" applyBorder="1" applyAlignment="1" applyProtection="1">
      <alignment horizontal="right" vertical="top"/>
      <protection hidden="1"/>
    </xf>
    <xf numFmtId="0" fontId="37" fillId="10" borderId="0" xfId="0" applyFont="1" applyFill="1" applyBorder="1" applyAlignment="1" applyProtection="1">
      <alignment horizontal="center" vertical="top"/>
      <protection hidden="1"/>
    </xf>
    <xf numFmtId="0" fontId="37" fillId="10" borderId="0" xfId="0" applyFont="1" applyFill="1" applyBorder="1" applyAlignment="1" applyProtection="1">
      <alignment horizontal="left" vertical="top"/>
      <protection hidden="1"/>
    </xf>
    <xf numFmtId="0" fontId="0" fillId="10" borderId="5" xfId="0" applyFont="1" applyFill="1" applyBorder="1" applyProtection="1">
      <protection hidden="1"/>
    </xf>
    <xf numFmtId="3" fontId="35" fillId="10" borderId="16" xfId="0" applyNumberFormat="1" applyFont="1" applyFill="1" applyBorder="1" applyAlignment="1" applyProtection="1">
      <alignment horizontal="center"/>
      <protection hidden="1"/>
    </xf>
    <xf numFmtId="0" fontId="15" fillId="10" borderId="15" xfId="0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Alignment="1" applyProtection="1">
      <alignment horizontal="center" vertical="center"/>
      <protection hidden="1"/>
    </xf>
    <xf numFmtId="0" fontId="33" fillId="10" borderId="5" xfId="0" applyFont="1" applyFill="1" applyBorder="1" applyAlignment="1" applyProtection="1">
      <alignment horizontal="center" vertical="center"/>
      <protection hidden="1"/>
    </xf>
    <xf numFmtId="0" fontId="16" fillId="10" borderId="15" xfId="0" applyFont="1" applyFill="1" applyBorder="1" applyAlignment="1" applyProtection="1">
      <alignment vertical="center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0" fillId="10" borderId="15" xfId="0" applyFont="1" applyFill="1" applyBorder="1" applyProtection="1">
      <protection hidden="1"/>
    </xf>
    <xf numFmtId="0" fontId="22" fillId="10" borderId="11" xfId="0" applyFont="1" applyFill="1" applyBorder="1" applyProtection="1">
      <protection hidden="1"/>
    </xf>
    <xf numFmtId="0" fontId="0" fillId="10" borderId="13" xfId="0" applyFont="1" applyFill="1" applyBorder="1" applyProtection="1">
      <protection hidden="1"/>
    </xf>
    <xf numFmtId="14" fontId="41" fillId="10" borderId="0" xfId="0" applyNumberFormat="1" applyFont="1" applyFill="1" applyBorder="1" applyAlignment="1" applyProtection="1">
      <alignment horizontal="right" vertical="center"/>
      <protection hidden="1"/>
    </xf>
    <xf numFmtId="0" fontId="30" fillId="10" borderId="0" xfId="0" applyFont="1" applyFill="1" applyBorder="1" applyAlignment="1" applyProtection="1">
      <alignment horizontal="left"/>
      <protection hidden="1"/>
    </xf>
    <xf numFmtId="14" fontId="42" fillId="10" borderId="4" xfId="0" applyNumberFormat="1" applyFont="1" applyFill="1" applyBorder="1" applyAlignment="1" applyProtection="1">
      <alignment horizontal="center" vertical="center"/>
      <protection hidden="1"/>
    </xf>
    <xf numFmtId="14" fontId="31" fillId="10" borderId="5" xfId="0" applyNumberFormat="1" applyFont="1" applyFill="1" applyBorder="1" applyAlignment="1" applyProtection="1">
      <alignment horizontal="center" vertical="top"/>
      <protection hidden="1"/>
    </xf>
    <xf numFmtId="0" fontId="27" fillId="10" borderId="16" xfId="0" applyFont="1" applyFill="1" applyBorder="1" applyAlignment="1" applyProtection="1">
      <alignment horizontal="right" vertical="top"/>
      <protection hidden="1"/>
    </xf>
    <xf numFmtId="0" fontId="26" fillId="9" borderId="11" xfId="0" applyFont="1" applyFill="1" applyBorder="1" applyProtection="1">
      <protection hidden="1"/>
    </xf>
    <xf numFmtId="0" fontId="21" fillId="9" borderId="11" xfId="0" applyFont="1" applyFill="1" applyBorder="1" applyAlignment="1" applyProtection="1">
      <alignment vertical="center"/>
      <protection hidden="1"/>
    </xf>
    <xf numFmtId="0" fontId="20" fillId="9" borderId="11" xfId="0" applyFont="1" applyFill="1" applyBorder="1" applyProtection="1">
      <protection hidden="1"/>
    </xf>
    <xf numFmtId="0" fontId="25" fillId="9" borderId="11" xfId="0" applyFont="1" applyFill="1" applyBorder="1" applyAlignment="1" applyProtection="1">
      <alignment horizontal="center" vertical="top"/>
      <protection hidden="1"/>
    </xf>
    <xf numFmtId="0" fontId="17" fillId="9" borderId="11" xfId="0" applyFont="1" applyFill="1" applyBorder="1" applyAlignment="1" applyProtection="1">
      <alignment vertical="top"/>
      <protection hidden="1"/>
    </xf>
    <xf numFmtId="0" fontId="30" fillId="10" borderId="0" xfId="0" applyFont="1" applyFill="1" applyAlignment="1" applyProtection="1">
      <alignment horizontal="center"/>
      <protection hidden="1"/>
    </xf>
    <xf numFmtId="0" fontId="46" fillId="10" borderId="0" xfId="0" applyFont="1" applyFill="1" applyBorder="1" applyAlignment="1" applyProtection="1">
      <alignment vertical="center"/>
      <protection hidden="1"/>
    </xf>
    <xf numFmtId="0" fontId="46" fillId="10" borderId="0" xfId="0" applyFont="1" applyFill="1" applyBorder="1" applyProtection="1">
      <protection hidden="1"/>
    </xf>
    <xf numFmtId="0" fontId="47" fillId="10" borderId="0" xfId="0" applyFont="1" applyFill="1" applyBorder="1" applyAlignment="1" applyProtection="1">
      <alignment vertical="center"/>
      <protection hidden="1"/>
    </xf>
    <xf numFmtId="0" fontId="48" fillId="10" borderId="0" xfId="0" applyFont="1" applyFill="1" applyBorder="1" applyAlignment="1" applyProtection="1">
      <alignment horizontal="left" vertical="center"/>
      <protection hidden="1"/>
    </xf>
    <xf numFmtId="0" fontId="48" fillId="10" borderId="0" xfId="0" applyFont="1" applyFill="1" applyBorder="1" applyAlignment="1" applyProtection="1">
      <alignment horizontal="left" vertical="top"/>
      <protection hidden="1"/>
    </xf>
    <xf numFmtId="1" fontId="43" fillId="10" borderId="0" xfId="0" applyNumberFormat="1" applyFont="1" applyFill="1" applyBorder="1" applyAlignment="1" applyProtection="1">
      <alignment horizontal="left" vertical="center"/>
      <protection hidden="1"/>
    </xf>
    <xf numFmtId="0" fontId="31" fillId="10" borderId="5" xfId="0" applyFont="1" applyFill="1" applyBorder="1" applyAlignment="1" applyProtection="1">
      <alignment horizontal="right" vertical="top"/>
      <protection hidden="1"/>
    </xf>
    <xf numFmtId="0" fontId="31" fillId="10" borderId="0" xfId="0" applyFont="1" applyFill="1" applyBorder="1" applyAlignment="1" applyProtection="1">
      <alignment horizontal="right" vertical="top"/>
      <protection hidden="1"/>
    </xf>
    <xf numFmtId="0" fontId="50" fillId="7" borderId="10" xfId="0" applyFont="1" applyFill="1" applyBorder="1" applyAlignment="1" applyProtection="1">
      <alignment horizontal="left" vertical="top"/>
      <protection hidden="1"/>
    </xf>
    <xf numFmtId="0" fontId="50" fillId="7" borderId="2" xfId="0" applyFont="1" applyFill="1" applyBorder="1" applyAlignment="1" applyProtection="1">
      <alignment horizontal="right" vertical="top"/>
      <protection hidden="1"/>
    </xf>
    <xf numFmtId="0" fontId="50" fillId="7" borderId="10" xfId="0" applyFont="1" applyFill="1" applyBorder="1" applyAlignment="1" applyProtection="1">
      <alignment horizontal="center" vertical="top"/>
      <protection hidden="1"/>
    </xf>
    <xf numFmtId="0" fontId="57" fillId="7" borderId="14" xfId="0" applyFont="1" applyFill="1" applyBorder="1" applyAlignment="1" applyProtection="1">
      <alignment horizontal="center" vertical="top"/>
      <protection hidden="1"/>
    </xf>
    <xf numFmtId="0" fontId="33" fillId="10" borderId="0" xfId="0" applyFont="1" applyFill="1" applyBorder="1" applyAlignment="1" applyProtection="1">
      <alignment horizontal="center" vertical="center"/>
      <protection hidden="1"/>
    </xf>
    <xf numFmtId="14" fontId="53" fillId="2" borderId="0" xfId="0" applyNumberFormat="1" applyFont="1" applyFill="1" applyBorder="1" applyAlignment="1" applyProtection="1">
      <alignment horizontal="center" vertical="center"/>
      <protection hidden="1"/>
    </xf>
    <xf numFmtId="0" fontId="31" fillId="2" borderId="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vertical="center"/>
      <protection hidden="1"/>
    </xf>
    <xf numFmtId="0" fontId="39" fillId="2" borderId="0" xfId="0" applyFont="1" applyFill="1" applyBorder="1" applyProtection="1">
      <protection hidden="1"/>
    </xf>
    <xf numFmtId="0" fontId="40" fillId="2" borderId="0" xfId="0" applyFont="1" applyFill="1" applyBorder="1" applyAlignment="1" applyProtection="1">
      <alignment horizontal="center" vertical="top"/>
      <protection hidden="1"/>
    </xf>
    <xf numFmtId="0" fontId="17" fillId="2" borderId="0" xfId="0" applyFont="1" applyFill="1" applyBorder="1" applyAlignment="1" applyProtection="1">
      <alignment horizontal="center" vertical="top"/>
      <protection hidden="1"/>
    </xf>
    <xf numFmtId="0" fontId="17" fillId="2" borderId="0" xfId="0" applyFont="1" applyFill="1" applyBorder="1" applyAlignment="1" applyProtection="1">
      <alignment vertical="top"/>
      <protection hidden="1"/>
    </xf>
    <xf numFmtId="14" fontId="31" fillId="2" borderId="0" xfId="0" applyNumberFormat="1" applyFont="1" applyFill="1" applyBorder="1" applyAlignment="1" applyProtection="1">
      <alignment horizontal="center" vertical="top"/>
      <protection hidden="1"/>
    </xf>
    <xf numFmtId="0" fontId="51" fillId="2" borderId="0" xfId="0" applyFont="1" applyFill="1" applyBorder="1" applyAlignment="1" applyProtection="1">
      <alignment vertical="top"/>
      <protection hidden="1"/>
    </xf>
    <xf numFmtId="0" fontId="38" fillId="2" borderId="0" xfId="0" applyFont="1" applyFill="1" applyBorder="1" applyAlignment="1" applyProtection="1">
      <alignment vertical="top"/>
      <protection hidden="1"/>
    </xf>
    <xf numFmtId="0" fontId="39" fillId="2" borderId="0" xfId="0" applyFont="1" applyFill="1" applyBorder="1" applyAlignment="1" applyProtection="1">
      <alignment vertical="top"/>
      <protection hidden="1"/>
    </xf>
    <xf numFmtId="0" fontId="31" fillId="2" borderId="0" xfId="0" applyFont="1" applyFill="1" applyBorder="1" applyAlignment="1" applyProtection="1">
      <alignment vertical="top"/>
      <protection hidden="1"/>
    </xf>
    <xf numFmtId="0" fontId="31" fillId="2" borderId="0" xfId="0" applyFont="1" applyFill="1" applyBorder="1" applyAlignment="1" applyProtection="1">
      <alignment horizontal="right" vertical="top"/>
      <protection hidden="1"/>
    </xf>
    <xf numFmtId="0" fontId="37" fillId="2" borderId="0" xfId="0" applyFont="1" applyFill="1" applyBorder="1" applyAlignment="1" applyProtection="1">
      <alignment horizontal="right" vertical="top"/>
      <protection hidden="1"/>
    </xf>
    <xf numFmtId="0" fontId="37" fillId="2" borderId="0" xfId="0" applyFont="1" applyFill="1" applyBorder="1" applyAlignment="1" applyProtection="1">
      <alignment horizontal="center" vertical="top"/>
      <protection hidden="1"/>
    </xf>
    <xf numFmtId="0" fontId="37" fillId="2" borderId="0" xfId="0" applyFont="1" applyFill="1" applyBorder="1" applyAlignment="1" applyProtection="1">
      <alignment horizontal="left" vertical="top"/>
      <protection hidden="1"/>
    </xf>
    <xf numFmtId="3" fontId="35" fillId="2" borderId="0" xfId="0" applyNumberFormat="1" applyFont="1" applyFill="1" applyBorder="1" applyAlignment="1" applyProtection="1">
      <alignment horizontal="center"/>
      <protection hidden="1"/>
    </xf>
    <xf numFmtId="0" fontId="15" fillId="2" borderId="0" xfId="0" applyFont="1" applyFill="1" applyBorder="1" applyAlignment="1" applyProtection="1">
      <alignment horizontal="center" vertical="center"/>
      <protection hidden="1"/>
    </xf>
    <xf numFmtId="0" fontId="54" fillId="2" borderId="0" xfId="0" applyFont="1" applyFill="1" applyBorder="1" applyAlignment="1" applyProtection="1">
      <alignment vertical="center"/>
      <protection hidden="1"/>
    </xf>
    <xf numFmtId="0" fontId="56" fillId="2" borderId="0" xfId="0" applyFont="1" applyFill="1" applyBorder="1" applyAlignment="1" applyProtection="1">
      <alignment horizontal="center" vertical="center"/>
      <protection hidden="1"/>
    </xf>
    <xf numFmtId="0" fontId="16" fillId="2" borderId="0" xfId="0" applyFont="1" applyFill="1" applyBorder="1" applyAlignment="1" applyProtection="1">
      <alignment vertical="center"/>
      <protection hidden="1"/>
    </xf>
    <xf numFmtId="3" fontId="55" fillId="2" borderId="0" xfId="0" applyNumberFormat="1" applyFont="1" applyFill="1" applyBorder="1" applyAlignment="1" applyProtection="1">
      <alignment horizontal="center" vertical="center"/>
      <protection hidden="1"/>
    </xf>
    <xf numFmtId="0" fontId="34" fillId="2" borderId="0" xfId="0" applyFont="1" applyFill="1" applyBorder="1" applyAlignment="1" applyProtection="1">
      <alignment horizontal="right" vertical="center"/>
      <protection hidden="1"/>
    </xf>
    <xf numFmtId="0" fontId="36" fillId="2" borderId="0" xfId="0" applyFont="1" applyFill="1" applyBorder="1" applyAlignment="1" applyProtection="1">
      <alignment vertical="top"/>
      <protection hidden="1"/>
    </xf>
    <xf numFmtId="0" fontId="27" fillId="2" borderId="0" xfId="0" applyFont="1" applyFill="1" applyBorder="1" applyAlignment="1" applyProtection="1">
      <alignment horizontal="right" vertical="top"/>
      <protection hidden="1"/>
    </xf>
    <xf numFmtId="0" fontId="22" fillId="2" borderId="0" xfId="0" applyFont="1" applyFill="1" applyBorder="1" applyProtection="1">
      <protection hidden="1"/>
    </xf>
    <xf numFmtId="3" fontId="35" fillId="10" borderId="11" xfId="0" applyNumberFormat="1" applyFont="1" applyFill="1" applyBorder="1" applyAlignment="1" applyProtection="1">
      <alignment horizontal="center" vertical="center"/>
      <protection hidden="1"/>
    </xf>
    <xf numFmtId="0" fontId="24" fillId="9" borderId="0" xfId="0" applyFont="1" applyFill="1" applyBorder="1" applyAlignment="1" applyProtection="1">
      <alignment horizontal="right" vertical="center"/>
      <protection hidden="1"/>
    </xf>
    <xf numFmtId="3" fontId="36" fillId="10" borderId="5" xfId="0" applyNumberFormat="1" applyFont="1" applyFill="1" applyBorder="1" applyAlignment="1" applyProtection="1">
      <alignment horizontal="center" vertical="center"/>
      <protection hidden="1"/>
    </xf>
    <xf numFmtId="3" fontId="36" fillId="10" borderId="0" xfId="0" applyNumberFormat="1" applyFont="1" applyFill="1" applyBorder="1" applyAlignment="1" applyProtection="1">
      <alignment horizontal="center" vertical="center"/>
      <protection hidden="1"/>
    </xf>
    <xf numFmtId="14" fontId="42" fillId="10" borderId="5" xfId="0" applyNumberFormat="1" applyFont="1" applyFill="1" applyBorder="1" applyAlignment="1" applyProtection="1">
      <alignment horizontal="center" vertical="center"/>
      <protection hidden="1"/>
    </xf>
    <xf numFmtId="0" fontId="5" fillId="10" borderId="3" xfId="0" applyFont="1" applyFill="1" applyBorder="1" applyAlignment="1" applyProtection="1">
      <alignment vertical="center"/>
      <protection hidden="1"/>
    </xf>
    <xf numFmtId="0" fontId="64" fillId="10" borderId="3" xfId="0" applyFont="1" applyFill="1" applyBorder="1" applyAlignment="1" applyProtection="1">
      <protection hidden="1"/>
    </xf>
    <xf numFmtId="0" fontId="64" fillId="10" borderId="3" xfId="0" applyFont="1" applyFill="1" applyBorder="1" applyAlignment="1" applyProtection="1">
      <alignment vertical="center"/>
      <protection hidden="1"/>
    </xf>
    <xf numFmtId="0" fontId="65" fillId="10" borderId="3" xfId="0" applyFont="1" applyFill="1" applyBorder="1" applyProtection="1">
      <protection hidden="1"/>
    </xf>
    <xf numFmtId="0" fontId="6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vertical="center"/>
      <protection hidden="1"/>
    </xf>
    <xf numFmtId="0" fontId="64" fillId="10" borderId="0" xfId="0" applyFont="1" applyFill="1" applyBorder="1" applyAlignment="1" applyProtection="1">
      <protection hidden="1"/>
    </xf>
    <xf numFmtId="0" fontId="64" fillId="10" borderId="0" xfId="0" applyFont="1" applyFill="1" applyBorder="1" applyAlignment="1" applyProtection="1">
      <alignment vertical="center"/>
      <protection hidden="1"/>
    </xf>
    <xf numFmtId="0" fontId="5" fillId="10" borderId="0" xfId="0" applyFont="1" applyFill="1" applyBorder="1" applyAlignment="1" applyProtection="1">
      <alignment vertical="top"/>
      <protection hidden="1"/>
    </xf>
    <xf numFmtId="0" fontId="6" fillId="2" borderId="4" xfId="0" applyFont="1" applyFill="1" applyBorder="1" applyProtection="1">
      <protection hidden="1"/>
    </xf>
    <xf numFmtId="0" fontId="6" fillId="2" borderId="3" xfId="0" applyFont="1" applyFill="1" applyBorder="1" applyProtection="1">
      <protection hidden="1"/>
    </xf>
    <xf numFmtId="0" fontId="6" fillId="2" borderId="3" xfId="0" applyNumberFormat="1" applyFont="1" applyFill="1" applyBorder="1" applyProtection="1">
      <protection hidden="1"/>
    </xf>
    <xf numFmtId="2" fontId="6" fillId="2" borderId="3" xfId="0" applyNumberFormat="1" applyFont="1" applyFill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6" fillId="2" borderId="0" xfId="0" applyNumberFormat="1" applyFont="1" applyFill="1" applyBorder="1" applyProtection="1">
      <protection hidden="1"/>
    </xf>
    <xf numFmtId="2" fontId="6" fillId="2" borderId="0" xfId="0" applyNumberFormat="1" applyFont="1" applyFill="1" applyBorder="1" applyProtection="1">
      <protection hidden="1"/>
    </xf>
    <xf numFmtId="0" fontId="6" fillId="2" borderId="5" xfId="0" applyFont="1" applyFill="1" applyBorder="1" applyAlignment="1" applyProtection="1">
      <alignment wrapText="1"/>
      <protection hidden="1"/>
    </xf>
    <xf numFmtId="49" fontId="6" fillId="2" borderId="0" xfId="0" applyNumberFormat="1" applyFont="1" applyFill="1" applyAlignment="1" applyProtection="1">
      <alignment horizontal="center"/>
      <protection hidden="1"/>
    </xf>
    <xf numFmtId="0" fontId="69" fillId="2" borderId="0" xfId="0" applyFont="1" applyFill="1" applyBorder="1" applyAlignment="1" applyProtection="1">
      <alignment horizontal="center"/>
      <protection hidden="1"/>
    </xf>
    <xf numFmtId="0" fontId="70" fillId="2" borderId="0" xfId="0" applyFont="1" applyFill="1" applyBorder="1" applyAlignment="1" applyProtection="1">
      <alignment horizontal="right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70" fillId="2" borderId="0" xfId="0" applyFont="1" applyFill="1" applyBorder="1" applyAlignment="1" applyProtection="1">
      <alignment horizontal="right" vertical="center"/>
      <protection hidden="1"/>
    </xf>
    <xf numFmtId="0" fontId="69" fillId="2" borderId="0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right"/>
      <protection hidden="1"/>
    </xf>
    <xf numFmtId="0" fontId="70" fillId="2" borderId="0" xfId="0" applyFont="1" applyFill="1" applyBorder="1" applyAlignment="1" applyProtection="1">
      <alignment horizontal="center"/>
      <protection hidden="1"/>
    </xf>
    <xf numFmtId="0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3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6" fillId="2" borderId="0" xfId="0" applyNumberFormat="1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vertical="center" wrapText="1"/>
      <protection hidden="1"/>
    </xf>
    <xf numFmtId="0" fontId="70" fillId="2" borderId="0" xfId="0" applyFont="1" applyFill="1" applyBorder="1" applyAlignment="1" applyProtection="1">
      <alignment horizontal="left"/>
      <protection hidden="1"/>
    </xf>
    <xf numFmtId="0" fontId="69" fillId="2" borderId="0" xfId="0" applyFont="1" applyFill="1" applyBorder="1" applyAlignment="1" applyProtection="1">
      <alignment horizontal="left"/>
      <protection hidden="1"/>
    </xf>
    <xf numFmtId="0" fontId="70" fillId="2" borderId="0" xfId="0" applyFont="1" applyFill="1" applyBorder="1" applyAlignment="1" applyProtection="1">
      <alignment wrapText="1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70" fillId="2" borderId="0" xfId="0" applyFont="1" applyFill="1" applyBorder="1" applyProtection="1">
      <protection hidden="1"/>
    </xf>
    <xf numFmtId="0" fontId="71" fillId="2" borderId="0" xfId="0" applyFont="1" applyFill="1" applyBorder="1" applyAlignment="1" applyProtection="1">
      <alignment horizontal="left" vertical="center"/>
      <protection hidden="1"/>
    </xf>
    <xf numFmtId="164" fontId="70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right" vertical="center"/>
      <protection hidden="1"/>
    </xf>
    <xf numFmtId="1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left"/>
      <protection hidden="1"/>
    </xf>
    <xf numFmtId="3" fontId="36" fillId="10" borderId="0" xfId="0" applyNumberFormat="1" applyFont="1" applyFill="1" applyBorder="1" applyAlignment="1" applyProtection="1">
      <alignment horizontal="center" vertical="center"/>
      <protection hidden="1"/>
    </xf>
    <xf numFmtId="0" fontId="63" fillId="10" borderId="5" xfId="0" applyFont="1" applyFill="1" applyBorder="1" applyAlignment="1" applyProtection="1">
      <alignment horizontal="right" vertical="top"/>
      <protection hidden="1"/>
    </xf>
    <xf numFmtId="0" fontId="63" fillId="10" borderId="0" xfId="0" applyFont="1" applyFill="1" applyBorder="1" applyAlignment="1" applyProtection="1">
      <alignment horizontal="right" vertical="top"/>
      <protection hidden="1"/>
    </xf>
    <xf numFmtId="3" fontId="73" fillId="10" borderId="11" xfId="0" applyNumberFormat="1" applyFont="1" applyFill="1" applyBorder="1" applyAlignment="1" applyProtection="1">
      <alignment vertical="center" wrapText="1"/>
      <protection hidden="1"/>
    </xf>
    <xf numFmtId="0" fontId="54" fillId="2" borderId="0" xfId="0" applyFont="1" applyFill="1" applyBorder="1" applyAlignment="1" applyProtection="1">
      <alignment horizontal="center" vertical="center"/>
      <protection hidden="1"/>
    </xf>
    <xf numFmtId="0" fontId="56" fillId="2" borderId="0" xfId="0" applyFont="1" applyFill="1" applyBorder="1" applyAlignment="1" applyProtection="1">
      <alignment horizontal="center" vertical="center"/>
      <protection hidden="1"/>
    </xf>
    <xf numFmtId="3" fontId="55" fillId="2" borderId="0" xfId="0" applyNumberFormat="1" applyFont="1" applyFill="1" applyBorder="1" applyAlignment="1" applyProtection="1">
      <alignment horizontal="center" vertical="center"/>
      <protection hidden="1"/>
    </xf>
    <xf numFmtId="0" fontId="55" fillId="2" borderId="0" xfId="0" applyFont="1" applyFill="1" applyBorder="1" applyAlignment="1" applyProtection="1">
      <alignment horizontal="center" vertical="top"/>
      <protection hidden="1"/>
    </xf>
    <xf numFmtId="0" fontId="29" fillId="9" borderId="2" xfId="0" applyFont="1" applyFill="1" applyBorder="1" applyAlignment="1" applyProtection="1">
      <alignment horizontal="center"/>
      <protection locked="0" hidden="1"/>
    </xf>
    <xf numFmtId="0" fontId="29" fillId="9" borderId="14" xfId="0" applyFont="1" applyFill="1" applyBorder="1" applyAlignment="1" applyProtection="1">
      <alignment horizontal="center"/>
      <protection locked="0" hidden="1"/>
    </xf>
    <xf numFmtId="0" fontId="61" fillId="8" borderId="0" xfId="0" applyFont="1" applyFill="1" applyBorder="1" applyAlignment="1" applyProtection="1">
      <alignment horizontal="center" vertical="center"/>
      <protection locked="0" hidden="1"/>
    </xf>
    <xf numFmtId="0" fontId="24" fillId="9" borderId="0" xfId="0" applyFont="1" applyFill="1" applyBorder="1" applyAlignment="1" applyProtection="1">
      <alignment horizontal="center"/>
      <protection hidden="1"/>
    </xf>
    <xf numFmtId="0" fontId="24" fillId="9" borderId="5" xfId="0" applyFont="1" applyFill="1" applyBorder="1" applyAlignment="1" applyProtection="1">
      <alignment horizontal="center" wrapText="1"/>
      <protection hidden="1"/>
    </xf>
    <xf numFmtId="0" fontId="24" fillId="9" borderId="0" xfId="0" applyFont="1" applyFill="1" applyBorder="1" applyAlignment="1" applyProtection="1">
      <alignment horizontal="center" wrapText="1"/>
      <protection hidden="1"/>
    </xf>
    <xf numFmtId="0" fontId="68" fillId="10" borderId="0" xfId="0" applyFont="1" applyFill="1" applyBorder="1" applyAlignment="1" applyProtection="1">
      <alignment horizontal="right"/>
      <protection hidden="1"/>
    </xf>
    <xf numFmtId="0" fontId="58" fillId="10" borderId="0" xfId="0" applyFont="1" applyFill="1" applyBorder="1" applyAlignment="1" applyProtection="1">
      <alignment horizontal="right"/>
      <protection hidden="1"/>
    </xf>
    <xf numFmtId="0" fontId="58" fillId="10" borderId="15" xfId="0" applyFont="1" applyFill="1" applyBorder="1" applyAlignment="1" applyProtection="1">
      <alignment horizontal="right"/>
      <protection hidden="1"/>
    </xf>
    <xf numFmtId="3" fontId="35" fillId="2" borderId="0" xfId="0" applyNumberFormat="1" applyFont="1" applyFill="1" applyBorder="1" applyAlignment="1" applyProtection="1">
      <alignment horizontal="center"/>
      <protection hidden="1"/>
    </xf>
    <xf numFmtId="0" fontId="44" fillId="10" borderId="0" xfId="0" applyFont="1" applyFill="1" applyBorder="1" applyAlignment="1" applyProtection="1">
      <alignment horizontal="center" vertical="center" wrapText="1"/>
      <protection hidden="1"/>
    </xf>
    <xf numFmtId="3" fontId="62" fillId="9" borderId="5" xfId="0" applyNumberFormat="1" applyFont="1" applyFill="1" applyBorder="1" applyAlignment="1" applyProtection="1">
      <alignment horizontal="center" vertical="center"/>
      <protection hidden="1"/>
    </xf>
    <xf numFmtId="3" fontId="62" fillId="9" borderId="0" xfId="0" applyNumberFormat="1" applyFont="1" applyFill="1" applyBorder="1" applyAlignment="1" applyProtection="1">
      <alignment horizontal="center" vertical="center"/>
      <protection hidden="1"/>
    </xf>
    <xf numFmtId="0" fontId="33" fillId="10" borderId="0" xfId="0" applyFont="1" applyFill="1" applyBorder="1" applyAlignment="1" applyProtection="1">
      <alignment horizontal="center" vertical="center"/>
      <protection hidden="1"/>
    </xf>
    <xf numFmtId="0" fontId="25" fillId="10" borderId="0" xfId="0" applyFont="1" applyFill="1" applyBorder="1" applyAlignment="1" applyProtection="1">
      <alignment horizontal="center" vertical="top" wrapText="1"/>
      <protection hidden="1"/>
    </xf>
    <xf numFmtId="0" fontId="25" fillId="10" borderId="0" xfId="0" applyFont="1" applyFill="1" applyBorder="1" applyAlignment="1" applyProtection="1">
      <alignment horizontal="center" vertical="top"/>
      <protection hidden="1"/>
    </xf>
    <xf numFmtId="3" fontId="35" fillId="10" borderId="11" xfId="0" applyNumberFormat="1" applyFont="1" applyFill="1" applyBorder="1" applyAlignment="1" applyProtection="1">
      <alignment horizontal="center"/>
      <protection hidden="1"/>
    </xf>
    <xf numFmtId="0" fontId="26" fillId="2" borderId="0" xfId="0" applyFont="1" applyFill="1" applyBorder="1" applyAlignment="1" applyProtection="1">
      <alignment horizontal="center"/>
      <protection hidden="1"/>
    </xf>
    <xf numFmtId="0" fontId="52" fillId="2" borderId="0" xfId="0" applyFont="1" applyFill="1" applyBorder="1" applyAlignment="1" applyProtection="1">
      <alignment horizontal="right"/>
      <protection hidden="1"/>
    </xf>
    <xf numFmtId="3" fontId="35" fillId="10" borderId="11" xfId="0" applyNumberFormat="1" applyFont="1" applyFill="1" applyBorder="1" applyAlignment="1" applyProtection="1">
      <alignment horizontal="center" vertical="center"/>
      <protection hidden="1"/>
    </xf>
    <xf numFmtId="14" fontId="28" fillId="10" borderId="0" xfId="0" applyNumberFormat="1" applyFont="1" applyFill="1" applyAlignment="1" applyProtection="1">
      <alignment horizontal="left"/>
      <protection hidden="1"/>
    </xf>
    <xf numFmtId="0" fontId="28" fillId="10" borderId="0" xfId="0" applyFont="1" applyFill="1" applyAlignment="1" applyProtection="1">
      <alignment horizontal="left"/>
      <protection hidden="1"/>
    </xf>
    <xf numFmtId="3" fontId="36" fillId="10" borderId="0" xfId="0" applyNumberFormat="1" applyFont="1" applyFill="1" applyBorder="1" applyAlignment="1" applyProtection="1">
      <alignment horizontal="center" vertical="center"/>
      <protection hidden="1"/>
    </xf>
    <xf numFmtId="0" fontId="32" fillId="10" borderId="5" xfId="0" applyFont="1" applyFill="1" applyBorder="1" applyAlignment="1" applyProtection="1">
      <alignment horizontal="right"/>
      <protection hidden="1"/>
    </xf>
    <xf numFmtId="0" fontId="32" fillId="10" borderId="15" xfId="0" applyFont="1" applyFill="1" applyBorder="1" applyAlignment="1" applyProtection="1">
      <alignment horizontal="right"/>
      <protection hidden="1"/>
    </xf>
    <xf numFmtId="0" fontId="34" fillId="10" borderId="5" xfId="0" applyFont="1" applyFill="1" applyBorder="1" applyAlignment="1" applyProtection="1">
      <alignment horizontal="right" vertical="center"/>
      <protection hidden="1"/>
    </xf>
    <xf numFmtId="0" fontId="34" fillId="10" borderId="15" xfId="0" applyFont="1" applyFill="1" applyBorder="1" applyAlignment="1" applyProtection="1">
      <alignment horizontal="right" vertical="center"/>
      <protection hidden="1"/>
    </xf>
    <xf numFmtId="0" fontId="63" fillId="10" borderId="5" xfId="0" applyFont="1" applyFill="1" applyBorder="1" applyAlignment="1" applyProtection="1">
      <alignment horizontal="right" vertical="top"/>
      <protection hidden="1"/>
    </xf>
    <xf numFmtId="0" fontId="63" fillId="10" borderId="15" xfId="0" applyFont="1" applyFill="1" applyBorder="1" applyAlignment="1" applyProtection="1">
      <alignment horizontal="right" vertical="top"/>
      <protection hidden="1"/>
    </xf>
    <xf numFmtId="0" fontId="59" fillId="10" borderId="5" xfId="0" applyFont="1" applyFill="1" applyBorder="1" applyAlignment="1" applyProtection="1">
      <alignment horizontal="right" vertical="center"/>
      <protection hidden="1"/>
    </xf>
    <xf numFmtId="0" fontId="59" fillId="10" borderId="0" xfId="0" applyFont="1" applyFill="1" applyBorder="1" applyAlignment="1" applyProtection="1">
      <alignment horizontal="right" vertical="center"/>
      <protection hidden="1"/>
    </xf>
    <xf numFmtId="0" fontId="60" fillId="9" borderId="16" xfId="0" applyFont="1" applyFill="1" applyBorder="1" applyAlignment="1" applyProtection="1">
      <alignment horizontal="center" vertical="center"/>
      <protection hidden="1"/>
    </xf>
    <xf numFmtId="0" fontId="60" fillId="9" borderId="11" xfId="0" applyFont="1" applyFill="1" applyBorder="1" applyAlignment="1" applyProtection="1">
      <alignment horizontal="center" vertical="center"/>
      <protection hidden="1"/>
    </xf>
    <xf numFmtId="0" fontId="24" fillId="9" borderId="4" xfId="0" applyFont="1" applyFill="1" applyBorder="1" applyAlignment="1" applyProtection="1">
      <alignment horizontal="center"/>
      <protection hidden="1"/>
    </xf>
    <xf numFmtId="0" fontId="24" fillId="9" borderId="3" xfId="0" applyFont="1" applyFill="1" applyBorder="1" applyAlignment="1" applyProtection="1">
      <alignment horizontal="center"/>
      <protection hidden="1"/>
    </xf>
    <xf numFmtId="0" fontId="33" fillId="10" borderId="3" xfId="0" applyFont="1" applyFill="1" applyBorder="1" applyAlignment="1" applyProtection="1">
      <alignment horizontal="center" vertical="center"/>
      <protection hidden="1"/>
    </xf>
    <xf numFmtId="0" fontId="18" fillId="10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8" fillId="5" borderId="1" xfId="0" applyFont="1" applyFill="1" applyBorder="1" applyAlignment="1" applyProtection="1">
      <alignment horizontal="center"/>
      <protection hidden="1"/>
    </xf>
    <xf numFmtId="0" fontId="0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Font="1" applyBorder="1" applyAlignment="1" applyProtection="1">
      <alignment horizontal="center" vertical="center"/>
      <protection hidden="1"/>
    </xf>
    <xf numFmtId="0" fontId="0" fillId="0" borderId="1" xfId="0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textRotation="90"/>
      <protection hidden="1"/>
    </xf>
    <xf numFmtId="0" fontId="8" fillId="2" borderId="0" xfId="0" applyFont="1" applyFill="1" applyAlignment="1" applyProtection="1">
      <alignment horizontal="right"/>
      <protection hidden="1"/>
    </xf>
    <xf numFmtId="0" fontId="4" fillId="3" borderId="6" xfId="0" applyFont="1" applyFill="1" applyBorder="1" applyAlignment="1" applyProtection="1">
      <alignment horizontal="center"/>
      <protection locked="0" hidden="1"/>
    </xf>
    <xf numFmtId="0" fontId="4" fillId="3" borderId="7" xfId="0" applyFont="1" applyFill="1" applyBorder="1" applyAlignment="1" applyProtection="1">
      <alignment horizontal="center"/>
      <protection locked="0" hidden="1"/>
    </xf>
    <xf numFmtId="0" fontId="4" fillId="3" borderId="8" xfId="0" applyFont="1" applyFill="1" applyBorder="1" applyAlignment="1" applyProtection="1">
      <alignment horizontal="center"/>
      <protection locked="0" hidden="1"/>
    </xf>
    <xf numFmtId="0" fontId="4" fillId="3" borderId="9" xfId="0" applyFont="1" applyFill="1" applyBorder="1" applyAlignment="1" applyProtection="1">
      <alignment horizontal="center"/>
      <protection locked="0" hidden="1"/>
    </xf>
    <xf numFmtId="0" fontId="69" fillId="2" borderId="0" xfId="0" applyFont="1" applyFill="1" applyBorder="1" applyAlignment="1" applyProtection="1">
      <alignment horizontal="center"/>
      <protection hidden="1"/>
    </xf>
    <xf numFmtId="3" fontId="72" fillId="10" borderId="0" xfId="0" applyNumberFormat="1" applyFont="1" applyFill="1" applyBorder="1" applyAlignment="1" applyProtection="1">
      <alignment horizontal="center" vertical="center"/>
      <protection hidden="1"/>
    </xf>
    <xf numFmtId="3" fontId="74" fillId="10" borderId="0" xfId="0" applyNumberFormat="1" applyFont="1" applyFill="1" applyBorder="1" applyAlignment="1" applyProtection="1">
      <alignment horizontal="left" vertical="center" wrapText="1"/>
      <protection hidden="1"/>
    </xf>
    <xf numFmtId="0" fontId="75" fillId="10" borderId="15" xfId="0" applyFont="1" applyFill="1" applyBorder="1" applyProtection="1">
      <protection hidden="1"/>
    </xf>
    <xf numFmtId="3" fontId="74" fillId="10" borderId="0" xfId="0" applyNumberFormat="1" applyFont="1" applyFill="1" applyBorder="1" applyAlignment="1" applyProtection="1">
      <alignment horizontal="left" wrapText="1"/>
      <protection hidden="1"/>
    </xf>
    <xf numFmtId="3" fontId="74" fillId="10" borderId="15" xfId="0" applyNumberFormat="1" applyFont="1" applyFill="1" applyBorder="1" applyAlignment="1" applyProtection="1">
      <alignment horizontal="left" wrapText="1"/>
      <protection hidden="1"/>
    </xf>
    <xf numFmtId="0" fontId="76" fillId="10" borderId="5" xfId="0" applyFont="1" applyFill="1" applyBorder="1" applyAlignment="1" applyProtection="1">
      <alignment horizontal="right" vertical="top"/>
      <protection hidden="1"/>
    </xf>
    <xf numFmtId="3" fontId="78" fillId="10" borderId="0" xfId="0" applyNumberFormat="1" applyFont="1" applyFill="1" applyBorder="1" applyAlignment="1" applyProtection="1">
      <alignment horizontal="left" vertical="center"/>
      <protection hidden="1"/>
    </xf>
    <xf numFmtId="164" fontId="77" fillId="10" borderId="0" xfId="0" applyNumberFormat="1" applyFont="1" applyFill="1" applyBorder="1" applyAlignment="1" applyProtection="1">
      <alignment horizontal="center" vertical="center"/>
      <protection hidden="1"/>
    </xf>
  </cellXfs>
  <cellStyles count="2">
    <cellStyle name="Обычный" xfId="0" builtinId="0"/>
    <cellStyle name="Обычный 2" xfId="1"/>
  </cellStyles>
  <dxfs count="8">
    <dxf>
      <font>
        <color rgb="FF464646"/>
      </font>
    </dxf>
    <dxf>
      <font>
        <color rgb="FF464646"/>
      </font>
    </dxf>
    <dxf>
      <font>
        <color rgb="FF464646"/>
      </font>
    </dxf>
    <dxf>
      <font>
        <color rgb="FF464646"/>
      </font>
    </dxf>
    <dxf>
      <font>
        <color rgb="FF464646"/>
      </font>
    </dxf>
    <dxf>
      <font>
        <color rgb="FFFF0000"/>
      </font>
    </dxf>
    <dxf>
      <font>
        <color theme="0"/>
      </font>
      <fill>
        <patternFill>
          <bgColor rgb="FF87DDBA"/>
        </patternFill>
      </fill>
    </dxf>
    <dxf>
      <font>
        <color theme="9" tint="0.79998168889431442"/>
      </font>
    </dxf>
  </dxfs>
  <tableStyles count="0" defaultTableStyle="TableStyleMedium2" defaultPivotStyle="PivotStyleMedium9"/>
  <colors>
    <mruColors>
      <color rgb="FF464646"/>
      <color rgb="FFE5F57B"/>
      <color rgb="FF292929"/>
      <color rgb="FF505050"/>
      <color rgb="FF5A5A58"/>
      <color rgb="FF3C3C3C"/>
      <color rgb="FFFF0066"/>
      <color rgb="FFFF000A"/>
      <color rgb="FF87DDBA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239410</xdr:colOff>
      <xdr:row>9</xdr:row>
      <xdr:rowOff>7622</xdr:rowOff>
    </xdr:from>
    <xdr:to>
      <xdr:col>15</xdr:col>
      <xdr:colOff>3895</xdr:colOff>
      <xdr:row>13</xdr:row>
      <xdr:rowOff>236882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758" y="2873405"/>
          <a:ext cx="1528680" cy="982977"/>
        </a:xfrm>
        <a:prstGeom prst="rect">
          <a:avLst/>
        </a:prstGeom>
      </xdr:spPr>
    </xdr:pic>
    <xdr:clientData/>
  </xdr:twoCellAnchor>
  <xdr:twoCellAnchor>
    <xdr:from>
      <xdr:col>3</xdr:col>
      <xdr:colOff>458387</xdr:colOff>
      <xdr:row>19</xdr:row>
      <xdr:rowOff>18895</xdr:rowOff>
    </xdr:from>
    <xdr:to>
      <xdr:col>5</xdr:col>
      <xdr:colOff>120688</xdr:colOff>
      <xdr:row>20</xdr:row>
      <xdr:rowOff>105208</xdr:rowOff>
    </xdr:to>
    <xdr:grpSp>
      <xdr:nvGrpSpPr>
        <xdr:cNvPr id="5" name="Группа 4"/>
        <xdr:cNvGrpSpPr/>
      </xdr:nvGrpSpPr>
      <xdr:grpSpPr>
        <a:xfrm>
          <a:off x="2355104" y="4905634"/>
          <a:ext cx="515410" cy="202270"/>
          <a:chOff x="2351481" y="4918317"/>
          <a:chExt cx="519551" cy="199422"/>
        </a:xfrm>
      </xdr:grpSpPr>
      <xdr:pic>
        <xdr:nvPicPr>
          <xdr:cNvPr id="2" name="Рисунок 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1481" y="4921453"/>
            <a:ext cx="196063" cy="195086"/>
          </a:xfrm>
          <a:prstGeom prst="rect">
            <a:avLst/>
          </a:prstGeom>
        </xdr:spPr>
      </xdr:pic>
      <xdr:pic>
        <xdr:nvPicPr>
          <xdr:cNvPr id="3" name="Рисунок 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07437" y="4923098"/>
            <a:ext cx="196064" cy="194641"/>
          </a:xfrm>
          <a:prstGeom prst="rect">
            <a:avLst/>
          </a:prstGeom>
        </xdr:spPr>
      </xdr:pic>
      <xdr:pic>
        <xdr:nvPicPr>
          <xdr:cNvPr id="4" name="Рисунок 3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5299" y="4918317"/>
            <a:ext cx="195733" cy="19541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F53"/>
  <sheetViews>
    <sheetView tabSelected="1" zoomScale="115" zoomScaleNormal="115" workbookViewId="0">
      <selection activeCell="C6" sqref="C6:D6"/>
    </sheetView>
  </sheetViews>
  <sheetFormatPr defaultColWidth="9.140625" defaultRowHeight="15" x14ac:dyDescent="0.25"/>
  <cols>
    <col min="1" max="1" width="3.85546875" style="23" customWidth="1"/>
    <col min="2" max="2" width="17.42578125" style="23" customWidth="1"/>
    <col min="3" max="3" width="7.140625" style="23" customWidth="1"/>
    <col min="4" max="4" width="11.7109375" style="23" customWidth="1"/>
    <col min="5" max="5" width="1.140625" style="23" customWidth="1"/>
    <col min="6" max="6" width="12.140625" style="23" customWidth="1"/>
    <col min="7" max="7" width="2" style="23" customWidth="1"/>
    <col min="8" max="8" width="9.7109375" style="23" customWidth="1"/>
    <col min="9" max="9" width="1.140625" style="23" customWidth="1"/>
    <col min="10" max="10" width="11" style="23" customWidth="1"/>
    <col min="11" max="11" width="12.5703125" style="23" customWidth="1"/>
    <col min="12" max="12" width="12.140625" style="23" customWidth="1"/>
    <col min="13" max="13" width="2" style="23" customWidth="1"/>
    <col min="14" max="14" width="10.85546875" style="23" customWidth="1"/>
    <col min="15" max="15" width="1.42578125" style="23" customWidth="1"/>
    <col min="16" max="21" width="5.7109375" style="23" customWidth="1"/>
    <col min="22" max="22" width="15.7109375" style="23" customWidth="1"/>
    <col min="23" max="16384" width="9.140625" style="23"/>
  </cols>
  <sheetData>
    <row r="1" spans="1:32" ht="15.75" x14ac:dyDescent="0.25">
      <c r="A1" s="185">
        <v>45816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</row>
    <row r="2" spans="1:32" ht="26.25" x14ac:dyDescent="0.4">
      <c r="A2" s="24"/>
      <c r="B2" s="58">
        <f ca="1">TODAY()</f>
        <v>45816</v>
      </c>
      <c r="C2" s="165" t="s">
        <v>46</v>
      </c>
      <c r="D2" s="166"/>
      <c r="E2" s="25"/>
      <c r="F2" s="24"/>
      <c r="G2" s="26"/>
      <c r="H2" s="26"/>
      <c r="I2" s="26"/>
      <c r="J2" s="201"/>
      <c r="K2" s="201"/>
      <c r="L2" s="27"/>
      <c r="M2" s="27"/>
      <c r="N2" s="27"/>
      <c r="O2" s="24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1:32" ht="35.1" customHeight="1" x14ac:dyDescent="0.35">
      <c r="A3" s="24"/>
      <c r="B3" s="168" t="s">
        <v>95</v>
      </c>
      <c r="C3" s="168"/>
      <c r="D3" s="168"/>
      <c r="E3" s="169" t="s">
        <v>86</v>
      </c>
      <c r="F3" s="170"/>
      <c r="G3" s="170"/>
      <c r="H3" s="171" t="s">
        <v>128</v>
      </c>
      <c r="I3" s="172"/>
      <c r="J3" s="172"/>
      <c r="K3" s="172"/>
      <c r="L3" s="173"/>
      <c r="M3" s="68" t="s">
        <v>106</v>
      </c>
      <c r="N3" s="59">
        <f>Лист!D24</f>
        <v>44</v>
      </c>
      <c r="O3" s="24"/>
      <c r="P3" s="28"/>
      <c r="Q3" s="29"/>
      <c r="R3" s="30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ht="35.1" customHeight="1" x14ac:dyDescent="0.35">
      <c r="A4" s="24"/>
      <c r="B4" s="31" t="s">
        <v>98</v>
      </c>
      <c r="C4" s="167">
        <v>50</v>
      </c>
      <c r="D4" s="167"/>
      <c r="E4" s="196">
        <f>IF(C6&lt;N3*5,0,IF(C2="Клиент",Лист!K53,Лист!L53))</f>
        <v>9</v>
      </c>
      <c r="F4" s="197"/>
      <c r="G4" s="197"/>
      <c r="H4" s="171" t="s">
        <v>129</v>
      </c>
      <c r="I4" s="172"/>
      <c r="J4" s="172"/>
      <c r="K4" s="172"/>
      <c r="L4" s="173"/>
      <c r="M4" s="68" t="s">
        <v>106</v>
      </c>
      <c r="N4" s="59">
        <f>Лист!G38</f>
        <v>23</v>
      </c>
      <c r="O4" s="24"/>
      <c r="P4" s="28"/>
      <c r="Q4" s="29"/>
      <c r="R4" s="3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2" ht="35.1" customHeight="1" x14ac:dyDescent="0.3">
      <c r="A5" s="24"/>
      <c r="B5" s="31" t="s">
        <v>99</v>
      </c>
      <c r="C5" s="167">
        <v>50</v>
      </c>
      <c r="D5" s="167"/>
      <c r="E5" s="198" t="s">
        <v>97</v>
      </c>
      <c r="F5" s="199"/>
      <c r="G5" s="199"/>
      <c r="H5" s="175" t="s">
        <v>109</v>
      </c>
      <c r="I5" s="175"/>
      <c r="J5" s="175"/>
      <c r="K5" s="175"/>
      <c r="L5" s="175"/>
      <c r="M5" s="175"/>
      <c r="N5" s="175"/>
      <c r="O5" s="24"/>
      <c r="P5" s="28"/>
      <c r="Q5" s="29"/>
      <c r="R5" s="32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 ht="35.1" customHeight="1" x14ac:dyDescent="0.25">
      <c r="A6" s="24"/>
      <c r="B6" s="110" t="s">
        <v>96</v>
      </c>
      <c r="C6" s="167">
        <v>1000</v>
      </c>
      <c r="D6" s="167"/>
      <c r="E6" s="176">
        <f>IF(C6&lt;N3*5,0,ROUNDUP(C6*E4,0))</f>
        <v>9000</v>
      </c>
      <c r="F6" s="177"/>
      <c r="G6" s="177"/>
      <c r="H6" s="175"/>
      <c r="I6" s="175"/>
      <c r="J6" s="175"/>
      <c r="K6" s="175"/>
      <c r="L6" s="175"/>
      <c r="M6" s="175"/>
      <c r="N6" s="175"/>
      <c r="O6" s="33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ht="18" customHeight="1" x14ac:dyDescent="0.25">
      <c r="A7" s="34"/>
      <c r="B7" s="72" t="s">
        <v>108</v>
      </c>
      <c r="C7" s="74">
        <f>CEILING(N3*5,100)</f>
        <v>300</v>
      </c>
      <c r="D7" s="72" t="s">
        <v>107</v>
      </c>
      <c r="E7" s="69"/>
      <c r="F7" s="70"/>
      <c r="G7" s="35"/>
      <c r="H7" s="179"/>
      <c r="I7" s="180"/>
      <c r="J7" s="180"/>
      <c r="K7" s="180"/>
      <c r="L7" s="180"/>
      <c r="M7" s="180"/>
      <c r="N7" s="180"/>
      <c r="O7" s="33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ht="22.15" customHeight="1" x14ac:dyDescent="0.25">
      <c r="A8" s="24"/>
      <c r="B8" s="73" t="s">
        <v>111</v>
      </c>
      <c r="C8" s="71"/>
      <c r="D8" s="71"/>
      <c r="E8" s="71"/>
      <c r="F8" s="70"/>
      <c r="G8" s="35"/>
      <c r="H8" s="180"/>
      <c r="I8" s="180"/>
      <c r="J8" s="180"/>
      <c r="K8" s="180"/>
      <c r="L8" s="180"/>
      <c r="M8" s="180"/>
      <c r="N8" s="180"/>
      <c r="O8" s="33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ht="6" customHeight="1" x14ac:dyDescent="0.3">
      <c r="A9" s="24"/>
      <c r="B9" s="63"/>
      <c r="C9" s="64"/>
      <c r="D9" s="64"/>
      <c r="E9" s="64"/>
      <c r="F9" s="65"/>
      <c r="G9" s="65"/>
      <c r="H9" s="66"/>
      <c r="I9" s="66"/>
      <c r="J9" s="66"/>
      <c r="K9" s="66"/>
      <c r="L9" s="66"/>
      <c r="M9" s="66"/>
      <c r="N9" s="66"/>
      <c r="O9" s="6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ht="13.9" customHeight="1" x14ac:dyDescent="0.3">
      <c r="A10" s="24"/>
      <c r="B10" s="60">
        <f ca="1">TODAY()</f>
        <v>45816</v>
      </c>
      <c r="C10" s="114" t="s">
        <v>134</v>
      </c>
      <c r="D10" s="115"/>
      <c r="E10" s="116"/>
      <c r="F10" s="117"/>
      <c r="G10" s="118"/>
      <c r="H10" s="37"/>
      <c r="I10" s="37"/>
      <c r="J10" s="37"/>
      <c r="K10" s="37"/>
      <c r="L10" s="36"/>
      <c r="M10" s="37"/>
      <c r="N10" s="37"/>
      <c r="O10" s="3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12.6" customHeight="1" x14ac:dyDescent="0.3">
      <c r="A11" s="24"/>
      <c r="B11" s="113"/>
      <c r="C11" s="119" t="s">
        <v>101</v>
      </c>
      <c r="D11" s="120"/>
      <c r="E11" s="121"/>
      <c r="F11" s="118"/>
      <c r="G11" s="118"/>
      <c r="H11" s="37"/>
      <c r="I11" s="37"/>
      <c r="J11" s="37"/>
      <c r="K11" s="37"/>
      <c r="L11" s="36"/>
      <c r="M11" s="37"/>
      <c r="N11" s="37"/>
      <c r="O11" s="42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 ht="13.9" customHeight="1" x14ac:dyDescent="0.3">
      <c r="A12" s="24"/>
      <c r="B12" s="113"/>
      <c r="C12" s="119" t="s">
        <v>136</v>
      </c>
      <c r="D12" s="120"/>
      <c r="E12" s="121"/>
      <c r="F12" s="118"/>
      <c r="G12" s="118"/>
      <c r="H12" s="37"/>
      <c r="I12" s="37"/>
      <c r="J12" s="37"/>
      <c r="K12" s="37"/>
      <c r="L12" s="36"/>
      <c r="M12" s="37"/>
      <c r="N12" s="37"/>
      <c r="O12" s="42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 s="44" customFormat="1" ht="20.25" customHeight="1" x14ac:dyDescent="0.25">
      <c r="A13" s="39"/>
      <c r="B13" s="61"/>
      <c r="C13" s="122" t="s">
        <v>135</v>
      </c>
      <c r="D13" s="40"/>
      <c r="E13" s="40"/>
      <c r="F13" s="41"/>
      <c r="G13" s="41"/>
      <c r="H13" s="36"/>
      <c r="I13" s="36"/>
      <c r="J13" s="36"/>
      <c r="K13" s="36"/>
      <c r="L13" s="36"/>
      <c r="M13" s="37"/>
      <c r="N13" s="37"/>
      <c r="O13" s="4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</row>
    <row r="14" spans="1:32" s="44" customFormat="1" ht="25.9" customHeight="1" x14ac:dyDescent="0.25">
      <c r="A14" s="39"/>
      <c r="B14" s="194" t="s">
        <v>103</v>
      </c>
      <c r="C14" s="195"/>
      <c r="D14" s="195"/>
      <c r="E14" s="195"/>
      <c r="F14" s="78">
        <f>C4</f>
        <v>50</v>
      </c>
      <c r="G14" s="79" t="s">
        <v>102</v>
      </c>
      <c r="H14" s="77">
        <f>C5</f>
        <v>50</v>
      </c>
      <c r="I14" s="80"/>
      <c r="J14" s="36"/>
      <c r="K14" s="36"/>
      <c r="L14" s="36"/>
      <c r="M14" s="37"/>
      <c r="N14" s="37"/>
      <c r="O14" s="42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</row>
    <row r="15" spans="1:32" s="44" customFormat="1" ht="6" customHeight="1" x14ac:dyDescent="0.25">
      <c r="A15" s="39"/>
      <c r="B15" s="75"/>
      <c r="C15" s="76"/>
      <c r="D15" s="76"/>
      <c r="E15" s="76"/>
      <c r="F15" s="45"/>
      <c r="G15" s="46"/>
      <c r="H15" s="47"/>
      <c r="I15" s="36"/>
      <c r="J15" s="36"/>
      <c r="K15" s="36"/>
      <c r="L15" s="36"/>
      <c r="M15" s="37"/>
      <c r="N15" s="37"/>
      <c r="O15" s="42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</row>
    <row r="16" spans="1:32" ht="19.5" customHeight="1" x14ac:dyDescent="0.3">
      <c r="A16" s="48"/>
      <c r="B16" s="188" t="s">
        <v>124</v>
      </c>
      <c r="C16" s="189"/>
      <c r="D16" s="49">
        <f>Лист!F44</f>
        <v>300</v>
      </c>
      <c r="E16" s="181">
        <f>Лист!G44</f>
        <v>500</v>
      </c>
      <c r="F16" s="181"/>
      <c r="G16" s="181">
        <f>Лист!H44</f>
        <v>1000</v>
      </c>
      <c r="H16" s="181"/>
      <c r="I16" s="181">
        <f>Лист!I44</f>
        <v>2000</v>
      </c>
      <c r="J16" s="181"/>
      <c r="K16" s="109">
        <f>Лист!J44</f>
        <v>5000</v>
      </c>
      <c r="L16" s="109">
        <f>Лист!K44</f>
        <v>10000</v>
      </c>
      <c r="M16" s="184">
        <f>Лист!L44</f>
        <v>20000</v>
      </c>
      <c r="N16" s="184"/>
      <c r="O16" s="50"/>
      <c r="P16" s="51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ht="24" customHeight="1" x14ac:dyDescent="0.25">
      <c r="A17" s="48"/>
      <c r="B17" s="190" t="s">
        <v>104</v>
      </c>
      <c r="C17" s="191"/>
      <c r="D17" s="52">
        <f>IF(C2="Клиент", Лист!F45, Лист!F50)</f>
        <v>16</v>
      </c>
      <c r="E17" s="200">
        <f>IF(C2="Клиент", Лист!G45, Лист!G50)</f>
        <v>12</v>
      </c>
      <c r="F17" s="200"/>
      <c r="G17" s="178">
        <f>IF(C2="Клиент", Лист!H45, Лист!H50)</f>
        <v>9</v>
      </c>
      <c r="H17" s="178"/>
      <c r="I17" s="178">
        <f>IF(C2="Клиент", Лист!I45, Лист!I50)</f>
        <v>8.1999999999999993</v>
      </c>
      <c r="J17" s="178"/>
      <c r="K17" s="81">
        <f>IF(C2="Клиент", Лист!J45, Лист!J50)</f>
        <v>7.3999999999999995</v>
      </c>
      <c r="L17" s="81">
        <f>IF(C2="Клиент", Лист!K45, Лист!K50)</f>
        <v>6.6999999999999993</v>
      </c>
      <c r="M17" s="178">
        <f>IF(C2="Клиент", Лист!L45, Лист!L50)</f>
        <v>6</v>
      </c>
      <c r="N17" s="178"/>
      <c r="O17" s="53"/>
      <c r="P17" s="54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 ht="19.5" customHeight="1" x14ac:dyDescent="0.25">
      <c r="A18" s="48"/>
      <c r="B18" s="192" t="s">
        <v>100</v>
      </c>
      <c r="C18" s="193"/>
      <c r="D18" s="111">
        <f>IF(D17="размер","Х",D17*D16)</f>
        <v>4800</v>
      </c>
      <c r="E18" s="187">
        <f>IF(E17="размер","Х",E17*E16)</f>
        <v>6000</v>
      </c>
      <c r="F18" s="187"/>
      <c r="G18" s="187">
        <f t="shared" ref="G18" si="0">G17*G16</f>
        <v>9000</v>
      </c>
      <c r="H18" s="187"/>
      <c r="I18" s="187">
        <f t="shared" ref="I18" si="1">I17*I16</f>
        <v>16400</v>
      </c>
      <c r="J18" s="187"/>
      <c r="K18" s="112">
        <f t="shared" ref="K18:M18" si="2">K17*K16</f>
        <v>37000</v>
      </c>
      <c r="L18" s="112">
        <f t="shared" si="2"/>
        <v>67000</v>
      </c>
      <c r="M18" s="187">
        <f t="shared" si="2"/>
        <v>120000</v>
      </c>
      <c r="N18" s="187"/>
      <c r="O18" s="55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 ht="5.25" customHeight="1" x14ac:dyDescent="0.25">
      <c r="A19" s="48"/>
      <c r="B19" s="158"/>
      <c r="C19" s="159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55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1:32" ht="9" customHeight="1" x14ac:dyDescent="0.25">
      <c r="A20" s="48"/>
      <c r="B20" s="221" t="s">
        <v>138</v>
      </c>
      <c r="C20" s="223">
        <f>CEILING(175/N3,0.1)</f>
        <v>4</v>
      </c>
      <c r="D20" s="222" t="s">
        <v>137</v>
      </c>
      <c r="E20" s="216"/>
      <c r="F20" s="217" t="s">
        <v>139</v>
      </c>
      <c r="G20" s="217"/>
      <c r="H20" s="217"/>
      <c r="I20" s="217"/>
      <c r="J20" s="217"/>
      <c r="K20" s="217"/>
      <c r="L20" s="217"/>
      <c r="M20" s="217"/>
      <c r="N20" s="217"/>
      <c r="O20" s="21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1:32" ht="9.75" customHeight="1" x14ac:dyDescent="0.25">
      <c r="A21" s="48"/>
      <c r="B21" s="221"/>
      <c r="C21" s="223"/>
      <c r="D21" s="222"/>
      <c r="E21" s="216"/>
      <c r="F21" s="219" t="s">
        <v>140</v>
      </c>
      <c r="G21" s="219"/>
      <c r="H21" s="219"/>
      <c r="I21" s="219"/>
      <c r="J21" s="219"/>
      <c r="K21" s="219"/>
      <c r="L21" s="219"/>
      <c r="M21" s="219"/>
      <c r="N21" s="219"/>
      <c r="O21" s="220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 ht="3.75" customHeight="1" x14ac:dyDescent="0.25">
      <c r="A22" s="48"/>
      <c r="B22" s="62"/>
      <c r="C22" s="56"/>
      <c r="D22" s="56"/>
      <c r="E22" s="56"/>
      <c r="F22" s="160"/>
      <c r="G22" s="160"/>
      <c r="H22" s="160"/>
      <c r="I22" s="160"/>
      <c r="J22" s="160"/>
      <c r="K22" s="160"/>
      <c r="L22" s="160"/>
      <c r="M22" s="160"/>
      <c r="N22" s="160"/>
      <c r="O22" s="5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 ht="108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1:32" ht="6.75" customHeight="1" x14ac:dyDescent="0.3">
      <c r="A24" s="29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29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1:32" ht="19.5" x14ac:dyDescent="0.3">
      <c r="A25" s="29"/>
      <c r="B25" s="82"/>
      <c r="C25" s="83"/>
      <c r="D25" s="84"/>
      <c r="E25" s="85"/>
      <c r="F25" s="86"/>
      <c r="G25" s="86"/>
      <c r="H25" s="87"/>
      <c r="I25" s="87"/>
      <c r="J25" s="87"/>
      <c r="K25" s="87"/>
      <c r="L25" s="87"/>
      <c r="M25" s="88"/>
      <c r="N25" s="88"/>
      <c r="O25" s="89"/>
      <c r="P25" s="29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1:32" ht="19.5" x14ac:dyDescent="0.25">
      <c r="A26" s="29"/>
      <c r="B26" s="90"/>
      <c r="C26" s="91"/>
      <c r="D26" s="92"/>
      <c r="E26" s="92"/>
      <c r="F26" s="93"/>
      <c r="G26" s="93"/>
      <c r="H26" s="87"/>
      <c r="I26" s="87"/>
      <c r="J26" s="87"/>
      <c r="K26" s="87"/>
      <c r="L26" s="87"/>
      <c r="M26" s="88"/>
      <c r="N26" s="88"/>
      <c r="O26" s="89"/>
      <c r="P26" s="29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2" ht="24" customHeight="1" x14ac:dyDescent="0.25">
      <c r="A27" s="29"/>
      <c r="B27" s="94"/>
      <c r="C27" s="91"/>
      <c r="D27" s="94"/>
      <c r="E27" s="94"/>
      <c r="F27" s="94"/>
      <c r="G27" s="94"/>
      <c r="H27" s="94"/>
      <c r="I27" s="94"/>
      <c r="J27" s="94"/>
      <c r="K27" s="94"/>
      <c r="L27" s="94"/>
      <c r="M27" s="88"/>
      <c r="N27" s="88"/>
      <c r="O27" s="89"/>
      <c r="P27" s="29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 ht="9" customHeight="1" x14ac:dyDescent="0.25">
      <c r="A28" s="29"/>
      <c r="B28" s="95"/>
      <c r="C28" s="95"/>
      <c r="D28" s="95"/>
      <c r="E28" s="95"/>
      <c r="F28" s="96"/>
      <c r="G28" s="97"/>
      <c r="H28" s="98"/>
      <c r="I28" s="87"/>
      <c r="J28" s="87"/>
      <c r="K28" s="87"/>
      <c r="L28" s="87"/>
      <c r="M28" s="88"/>
      <c r="N28" s="88"/>
      <c r="O28" s="89"/>
      <c r="P28" s="29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 ht="19.5" x14ac:dyDescent="0.3">
      <c r="A29" s="29"/>
      <c r="B29" s="183"/>
      <c r="C29" s="183"/>
      <c r="D29" s="99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00"/>
      <c r="P29" s="29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 ht="19.5" x14ac:dyDescent="0.25">
      <c r="A30" s="29"/>
      <c r="B30" s="101"/>
      <c r="C30" s="161"/>
      <c r="D30" s="10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03"/>
      <c r="P30" s="29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 ht="17.25" customHeight="1" x14ac:dyDescent="0.25">
      <c r="A31" s="29"/>
      <c r="B31" s="101"/>
      <c r="C31" s="161"/>
      <c r="D31" s="104"/>
      <c r="E31" s="163"/>
      <c r="F31" s="163"/>
      <c r="G31" s="163"/>
      <c r="H31" s="163"/>
      <c r="I31" s="163"/>
      <c r="J31" s="163"/>
      <c r="K31" s="163"/>
      <c r="L31" s="163"/>
      <c r="M31" s="164"/>
      <c r="N31" s="164"/>
      <c r="O31" s="103"/>
      <c r="P31" s="29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ht="19.5" x14ac:dyDescent="0.25">
      <c r="A32" s="29"/>
      <c r="B32" s="105"/>
      <c r="C32" s="161"/>
      <c r="D32" s="10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03"/>
      <c r="P32" s="29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spans="1:32" ht="17.25" x14ac:dyDescent="0.25">
      <c r="A33" s="29"/>
      <c r="B33" s="106"/>
      <c r="C33" s="161"/>
      <c r="D33" s="104"/>
      <c r="E33" s="163"/>
      <c r="F33" s="163"/>
      <c r="G33" s="163"/>
      <c r="H33" s="163"/>
      <c r="I33" s="163"/>
      <c r="J33" s="163"/>
      <c r="K33" s="163"/>
      <c r="L33" s="163"/>
      <c r="M33" s="164"/>
      <c r="N33" s="164"/>
      <c r="O33" s="103"/>
      <c r="P33" s="29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spans="1:32" ht="19.5" x14ac:dyDescent="0.25">
      <c r="A34" s="29"/>
      <c r="B34" s="105"/>
      <c r="C34" s="161"/>
      <c r="D34" s="10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03"/>
      <c r="P34" s="29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 ht="17.25" x14ac:dyDescent="0.25">
      <c r="A35" s="29"/>
      <c r="B35" s="106"/>
      <c r="C35" s="161"/>
      <c r="D35" s="104"/>
      <c r="E35" s="163"/>
      <c r="F35" s="163"/>
      <c r="G35" s="163"/>
      <c r="H35" s="163"/>
      <c r="I35" s="163"/>
      <c r="J35" s="163"/>
      <c r="K35" s="163"/>
      <c r="L35" s="163"/>
      <c r="M35" s="164"/>
      <c r="N35" s="164"/>
      <c r="O35" s="29"/>
      <c r="P35" s="29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 ht="19.5" x14ac:dyDescent="0.25">
      <c r="A36" s="29"/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29"/>
      <c r="P36" s="29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 spans="1:32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</row>
    <row r="52" spans="1:32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spans="1:32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</row>
  </sheetData>
  <sheetProtection password="F3EE" sheet="1" objects="1" scenarios="1"/>
  <mergeCells count="76">
    <mergeCell ref="A1:O1"/>
    <mergeCell ref="E18:F18"/>
    <mergeCell ref="G18:H18"/>
    <mergeCell ref="I18:J18"/>
    <mergeCell ref="M18:N18"/>
    <mergeCell ref="B16:C16"/>
    <mergeCell ref="B17:C17"/>
    <mergeCell ref="B18:C18"/>
    <mergeCell ref="B14:E14"/>
    <mergeCell ref="C6:D6"/>
    <mergeCell ref="E4:G4"/>
    <mergeCell ref="E5:G5"/>
    <mergeCell ref="E16:F16"/>
    <mergeCell ref="E17:F17"/>
    <mergeCell ref="G16:H16"/>
    <mergeCell ref="J2:K2"/>
    <mergeCell ref="I29:J29"/>
    <mergeCell ref="H3:L3"/>
    <mergeCell ref="H5:N6"/>
    <mergeCell ref="E6:G6"/>
    <mergeCell ref="G17:H17"/>
    <mergeCell ref="H7:N8"/>
    <mergeCell ref="I16:J16"/>
    <mergeCell ref="I17:J17"/>
    <mergeCell ref="B24:O24"/>
    <mergeCell ref="K29:L29"/>
    <mergeCell ref="M29:N29"/>
    <mergeCell ref="B29:C29"/>
    <mergeCell ref="M16:N16"/>
    <mergeCell ref="E29:F29"/>
    <mergeCell ref="G29:H29"/>
    <mergeCell ref="M17:N17"/>
    <mergeCell ref="C4:D4"/>
    <mergeCell ref="C5:D5"/>
    <mergeCell ref="B3:D3"/>
    <mergeCell ref="E3:G3"/>
    <mergeCell ref="H4:L4"/>
    <mergeCell ref="C2:D2"/>
    <mergeCell ref="K33:L33"/>
    <mergeCell ref="M33:N33"/>
    <mergeCell ref="E32:F32"/>
    <mergeCell ref="E35:F35"/>
    <mergeCell ref="G35:H35"/>
    <mergeCell ref="I35:J35"/>
    <mergeCell ref="K35:L35"/>
    <mergeCell ref="M32:N32"/>
    <mergeCell ref="M34:N34"/>
    <mergeCell ref="I32:J32"/>
    <mergeCell ref="K32:L32"/>
    <mergeCell ref="I34:J34"/>
    <mergeCell ref="K34:L34"/>
    <mergeCell ref="M35:N35"/>
    <mergeCell ref="I33:J33"/>
    <mergeCell ref="I30:J30"/>
    <mergeCell ref="K30:L30"/>
    <mergeCell ref="M30:N30"/>
    <mergeCell ref="E31:F31"/>
    <mergeCell ref="G31:H31"/>
    <mergeCell ref="I31:J31"/>
    <mergeCell ref="K31:L31"/>
    <mergeCell ref="M31:N31"/>
    <mergeCell ref="C30:C31"/>
    <mergeCell ref="C32:C33"/>
    <mergeCell ref="C34:C35"/>
    <mergeCell ref="E34:F34"/>
    <mergeCell ref="G32:H32"/>
    <mergeCell ref="G34:H34"/>
    <mergeCell ref="E33:F33"/>
    <mergeCell ref="G33:H33"/>
    <mergeCell ref="E30:F30"/>
    <mergeCell ref="G30:H30"/>
    <mergeCell ref="F20:N20"/>
    <mergeCell ref="F21:O21"/>
    <mergeCell ref="B20:B21"/>
    <mergeCell ref="C20:C21"/>
    <mergeCell ref="D20:D21"/>
  </mergeCells>
  <conditionalFormatting sqref="F14:G15 B14:B15 B7:G13">
    <cfRule type="expression" dxfId="7" priority="10">
      <formula>$C$6&lt;$C$7</formula>
    </cfRule>
  </conditionalFormatting>
  <conditionalFormatting sqref="B3 E3 E4 E5 E6 B6 B9 C9 D9 E9:F9 H9 G9 I9 J9 L9 K9 M9 N9 O9 C2">
    <cfRule type="expression" dxfId="6" priority="9">
      <formula>$C$2="Клиент"</formula>
    </cfRule>
  </conditionalFormatting>
  <conditionalFormatting sqref="C6">
    <cfRule type="expression" dxfId="5" priority="8">
      <formula>$C$6&lt;$C$7</formula>
    </cfRule>
  </conditionalFormatting>
  <conditionalFormatting sqref="B7:F8">
    <cfRule type="expression" dxfId="4" priority="7">
      <formula>$C$2="Клиент"</formula>
    </cfRule>
  </conditionalFormatting>
  <conditionalFormatting sqref="D16:D20">
    <cfRule type="expression" dxfId="3" priority="4">
      <formula>$D$16=0</formula>
    </cfRule>
  </conditionalFormatting>
  <conditionalFormatting sqref="E16:F21">
    <cfRule type="expression" dxfId="2" priority="3">
      <formula>$E$16=0</formula>
    </cfRule>
  </conditionalFormatting>
  <conditionalFormatting sqref="G16:H19">
    <cfRule type="expression" dxfId="1" priority="2">
      <formula>$G$16=0</formula>
    </cfRule>
  </conditionalFormatting>
  <conditionalFormatting sqref="I16:J19">
    <cfRule type="expression" dxfId="0" priority="1">
      <formula>$I$16=0</formula>
    </cfRule>
  </conditionalFormatting>
  <pageMargins left="0.7" right="0.7" top="0.75" bottom="0.75" header="0.3" footer="0.3"/>
  <pageSetup paperSize="14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Лист!$F$24:$F$25</xm:f>
          </x14:formula1>
          <xm:sqref>C2:D2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26"/>
  <sheetViews>
    <sheetView zoomScaleNormal="100" workbookViewId="0">
      <selection activeCell="H5" sqref="H5:I5"/>
    </sheetView>
  </sheetViews>
  <sheetFormatPr defaultColWidth="8.85546875" defaultRowHeight="15" x14ac:dyDescent="0.25"/>
  <cols>
    <col min="1" max="1" width="2.7109375" style="5" customWidth="1"/>
    <col min="2" max="2" width="11.140625" style="1" customWidth="1"/>
    <col min="3" max="3" width="5.140625" style="1" customWidth="1"/>
    <col min="4" max="4" width="11.42578125" style="1" customWidth="1"/>
    <col min="5" max="5" width="16.85546875" style="1" customWidth="1"/>
    <col min="6" max="12" width="11.7109375" style="1" customWidth="1"/>
    <col min="13" max="13" width="90.7109375" style="1" customWidth="1"/>
    <col min="14" max="16384" width="8.85546875" style="1"/>
  </cols>
  <sheetData>
    <row r="1" spans="2:15" s="17" customFormat="1" x14ac:dyDescent="0.25">
      <c r="B1" s="3">
        <v>44927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</row>
    <row r="2" spans="2:15" ht="19.5" x14ac:dyDescent="0.3">
      <c r="C2" s="5"/>
      <c r="D2" s="203" t="s">
        <v>32</v>
      </c>
      <c r="E2" s="203"/>
      <c r="F2" s="203"/>
      <c r="G2" s="203"/>
      <c r="H2" s="203"/>
      <c r="I2" s="203"/>
      <c r="J2" s="203"/>
      <c r="K2" s="203"/>
      <c r="L2" s="203"/>
      <c r="M2" s="5"/>
    </row>
    <row r="3" spans="2:15" ht="7.9" customHeight="1" thickBot="1" x14ac:dyDescent="0.35"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5"/>
    </row>
    <row r="4" spans="2:15" ht="19.5" x14ac:dyDescent="0.3">
      <c r="B4" s="5"/>
      <c r="C4" s="5"/>
      <c r="D4" s="5"/>
      <c r="E4" s="210" t="s">
        <v>17</v>
      </c>
      <c r="F4" s="210"/>
      <c r="G4" s="210"/>
      <c r="H4" s="211" t="s">
        <v>14</v>
      </c>
      <c r="I4" s="212"/>
      <c r="J4" s="4">
        <f>VLOOKUP(H4,Лист!N1:O3,2,FALSE)</f>
        <v>1.08</v>
      </c>
      <c r="K4" s="5"/>
      <c r="L4" s="5"/>
      <c r="M4" s="5"/>
    </row>
    <row r="5" spans="2:15" ht="20.25" thickBot="1" x14ac:dyDescent="0.35">
      <c r="B5" s="5"/>
      <c r="C5" s="5"/>
      <c r="D5" s="5"/>
      <c r="E5" s="210" t="s">
        <v>22</v>
      </c>
      <c r="F5" s="210"/>
      <c r="G5" s="210"/>
      <c r="H5" s="213" t="s">
        <v>19</v>
      </c>
      <c r="I5" s="214"/>
      <c r="J5" s="4">
        <f>IF(H5=Лист!P1,1,2)</f>
        <v>2</v>
      </c>
      <c r="K5" s="5"/>
      <c r="L5" s="5"/>
      <c r="M5" s="5"/>
    </row>
    <row r="6" spans="2:15" ht="12" customHeight="1" x14ac:dyDescent="0.3">
      <c r="B6" s="5"/>
      <c r="C6" s="5"/>
      <c r="D6" s="5"/>
      <c r="E6" s="7"/>
      <c r="F6" s="7"/>
      <c r="G6" s="7"/>
      <c r="H6" s="20"/>
      <c r="I6" s="20"/>
      <c r="J6" s="4"/>
      <c r="K6" s="5"/>
      <c r="L6" s="5"/>
      <c r="M6" s="5"/>
    </row>
    <row r="7" spans="2:15" ht="19.5" x14ac:dyDescent="0.3">
      <c r="B7" s="5"/>
      <c r="C7" s="7"/>
      <c r="D7" s="7"/>
      <c r="E7" s="8"/>
      <c r="F7" s="204" t="s">
        <v>26</v>
      </c>
      <c r="G7" s="204"/>
      <c r="H7" s="204"/>
      <c r="I7" s="204"/>
      <c r="J7" s="204"/>
      <c r="K7" s="204"/>
      <c r="L7" s="204"/>
      <c r="M7" s="5"/>
    </row>
    <row r="8" spans="2:15" ht="17.25" x14ac:dyDescent="0.3">
      <c r="B8" s="5"/>
      <c r="C8" s="5"/>
      <c r="D8" s="5"/>
      <c r="E8" s="9" t="s">
        <v>27</v>
      </c>
      <c r="F8" s="10" t="s">
        <v>7</v>
      </c>
      <c r="G8" s="10" t="s">
        <v>8</v>
      </c>
      <c r="H8" s="10" t="s">
        <v>9</v>
      </c>
      <c r="I8" s="10" t="s">
        <v>10</v>
      </c>
      <c r="J8" s="10" t="s">
        <v>11</v>
      </c>
      <c r="K8" s="10" t="s">
        <v>12</v>
      </c>
      <c r="L8" s="10" t="s">
        <v>13</v>
      </c>
      <c r="M8" s="5"/>
      <c r="O8" s="1" t="s">
        <v>23</v>
      </c>
    </row>
    <row r="9" spans="2:15" ht="19.5" x14ac:dyDescent="0.3">
      <c r="B9" s="5"/>
      <c r="C9" s="209" t="s">
        <v>0</v>
      </c>
      <c r="D9" s="205" t="s">
        <v>28</v>
      </c>
      <c r="E9" s="18" t="s">
        <v>33</v>
      </c>
      <c r="F9" s="11">
        <f>J4*Лист!M1+J4*J5*Лист!K19*Лист!S1</f>
        <v>179.82000000000002</v>
      </c>
      <c r="G9" s="11">
        <f>J4*Лист!M1+J4*J5*Лист!L19*Лист!S1</f>
        <v>140.94000000000003</v>
      </c>
      <c r="H9" s="11">
        <f>J4*Лист!M1+J4*J5*Лист!M19*Лист!S1</f>
        <v>117.61199999999999</v>
      </c>
      <c r="I9" s="11">
        <f>J4*Лист!M1+J4*J5*Лист!N19*Лист!S1</f>
        <v>102.06</v>
      </c>
      <c r="J9" s="11">
        <f>J4*Лист!M1+J4*J5*Лист!O19*Лист!S1</f>
        <v>98.171999999999997</v>
      </c>
      <c r="K9" s="11">
        <f>J4*Лист!M1+J4*J5*Лист!P19*Лист!S1</f>
        <v>94.284000000000006</v>
      </c>
      <c r="L9" s="11">
        <f>J4*Лист!M1+J4*J5*Лист!Q19*Лист!S1</f>
        <v>86.50800000000001</v>
      </c>
      <c r="M9" s="5"/>
    </row>
    <row r="10" spans="2:15" ht="19.5" x14ac:dyDescent="0.3">
      <c r="B10" s="5"/>
      <c r="C10" s="209"/>
      <c r="D10" s="205"/>
      <c r="E10" s="19" t="s">
        <v>34</v>
      </c>
      <c r="F10" s="12">
        <f>J4*Лист!M12+J5*J4*Лист!K20</f>
        <v>204.12</v>
      </c>
      <c r="G10" s="12">
        <f>J4*Лист!M12+J5*J4*Лист!L20</f>
        <v>165.24</v>
      </c>
      <c r="H10" s="12">
        <f>J4*Лист!M12+J5*J4*Лист!M20</f>
        <v>141.91200000000001</v>
      </c>
      <c r="I10" s="12">
        <f>J4*Лист!M12+J5*J4*Лист!N20</f>
        <v>126.36000000000001</v>
      </c>
      <c r="J10" s="12">
        <f>J4*Лист!M12+J5*J4*Лист!O20</f>
        <v>122.47200000000001</v>
      </c>
      <c r="K10" s="12">
        <f>J4*Лист!M12+J5*J4*Лист!P20</f>
        <v>118.584</v>
      </c>
      <c r="L10" s="12">
        <f>J4*Лист!M12+J5*J4*Лист!Q20</f>
        <v>110.80800000000001</v>
      </c>
      <c r="M10" s="5"/>
    </row>
    <row r="11" spans="2:15" ht="19.5" x14ac:dyDescent="0.3">
      <c r="B11" s="5"/>
      <c r="C11" s="209"/>
      <c r="D11" s="206"/>
      <c r="E11" s="18" t="s">
        <v>35</v>
      </c>
      <c r="F11" s="11">
        <f>J4*Лист!M2+J4*J5*Лист!K19*Лист!S1</f>
        <v>220.32000000000002</v>
      </c>
      <c r="G11" s="11">
        <f>J4*Лист!M2+J4*J5*Лист!L19*Лист!S1</f>
        <v>181.44000000000003</v>
      </c>
      <c r="H11" s="11">
        <f>J4*Лист!M2+J4*J5*Лист!M19*Лист!S1</f>
        <v>158.11200000000002</v>
      </c>
      <c r="I11" s="11">
        <f>J4*Лист!M2+J4*J5*Лист!N19*Лист!S1</f>
        <v>142.56</v>
      </c>
      <c r="J11" s="11">
        <f>J4*Лист!M2+J4*J5*Лист!O19*Лист!S1</f>
        <v>138.67200000000003</v>
      </c>
      <c r="K11" s="11">
        <f>J4*Лист!M2+J4*J5*Лист!P19*Лист!S1</f>
        <v>134.78400000000002</v>
      </c>
      <c r="L11" s="11">
        <f>J4*Лист!M2+J4*J5*Лист!Q19*Лист!S1</f>
        <v>127.00800000000001</v>
      </c>
      <c r="M11" s="5"/>
    </row>
    <row r="12" spans="2:15" ht="19.5" x14ac:dyDescent="0.3">
      <c r="B12" s="5"/>
      <c r="C12" s="209"/>
      <c r="D12" s="206"/>
      <c r="E12" s="19" t="s">
        <v>36</v>
      </c>
      <c r="F12" s="12">
        <f>J4*Лист!M13+J4*J5*Лист!K20</f>
        <v>236.52</v>
      </c>
      <c r="G12" s="12">
        <f>J4*Лист!M13+J4*J5*Лист!L20</f>
        <v>197.64000000000001</v>
      </c>
      <c r="H12" s="12">
        <f>J4*Лист!M13+J4*J5*Лист!M20</f>
        <v>174.31200000000001</v>
      </c>
      <c r="I12" s="12">
        <f>J4*Лист!M13+J4*J5*Лист!N20</f>
        <v>158.76</v>
      </c>
      <c r="J12" s="12">
        <f>J4*Лист!M13+J4*J5*Лист!O20</f>
        <v>154.87200000000001</v>
      </c>
      <c r="K12" s="12">
        <f>J4*Лист!M13+J4*J5*Лист!P20</f>
        <v>150.98399999999998</v>
      </c>
      <c r="L12" s="12">
        <f>J4*Лист!M13+J4*J5*Лист!Q20</f>
        <v>143.208</v>
      </c>
      <c r="M12" s="5"/>
    </row>
    <row r="13" spans="2:15" ht="19.5" x14ac:dyDescent="0.3">
      <c r="B13" s="5"/>
      <c r="C13" s="209"/>
      <c r="D13" s="207"/>
      <c r="E13" s="18" t="s">
        <v>37</v>
      </c>
      <c r="F13" s="11">
        <f>J4*Лист!M3+J4*J5*Лист!K20</f>
        <v>268.92</v>
      </c>
      <c r="G13" s="11">
        <f>J4*Лист!M3+J4*J5*Лист!L20</f>
        <v>230.04000000000002</v>
      </c>
      <c r="H13" s="11">
        <f>J4*Лист!M3+J4*J5*Лист!M20</f>
        <v>206.71199999999999</v>
      </c>
      <c r="I13" s="11">
        <f>J4*Лист!M3+J4*J5*Лист!N20</f>
        <v>191.16000000000003</v>
      </c>
      <c r="J13" s="11">
        <f>J4*Лист!M3+J4*J5*Лист!O20</f>
        <v>187.27199999999999</v>
      </c>
      <c r="K13" s="11">
        <f>J4*Лист!M3+J4*J5*Лист!P20</f>
        <v>183.38400000000001</v>
      </c>
      <c r="L13" s="11">
        <f>J4*Лист!M3+J4*J5*Лист!Q20</f>
        <v>175.608</v>
      </c>
      <c r="M13" s="5"/>
    </row>
    <row r="14" spans="2:15" ht="19.5" x14ac:dyDescent="0.3">
      <c r="B14" s="5"/>
      <c r="C14" s="209"/>
      <c r="D14" s="208" t="s">
        <v>3</v>
      </c>
      <c r="E14" s="19" t="s">
        <v>38</v>
      </c>
      <c r="F14" s="12">
        <f>J4*Лист!M4+'Лазерная печать'!J4*'Лазерная печать'!J5*Лист!K20</f>
        <v>204.12</v>
      </c>
      <c r="G14" s="12">
        <f>J4*Лист!M4+'Лазерная печать'!J4*'Лазерная печать'!J5*Лист!L20</f>
        <v>165.24</v>
      </c>
      <c r="H14" s="12">
        <f>J4*Лист!M4+'Лазерная печать'!J4*'Лазерная печать'!J5*Лист!M20</f>
        <v>141.91200000000001</v>
      </c>
      <c r="I14" s="12">
        <f>J4*Лист!M4+'Лазерная печать'!J4*'Лазерная печать'!J5*Лист!N20</f>
        <v>126.36000000000001</v>
      </c>
      <c r="J14" s="12">
        <f>J4*Лист!M4+'Лазерная печать'!J4*'Лазерная печать'!J5*Лист!O20</f>
        <v>122.47200000000001</v>
      </c>
      <c r="K14" s="12">
        <f>J4*Лист!M4+'Лазерная печать'!J4*'Лазерная печать'!J5*Лист!P20</f>
        <v>118.584</v>
      </c>
      <c r="L14" s="12">
        <f>J4*Лист!M4+'Лазерная печать'!J4*'Лазерная печать'!J5*Лист!Q20</f>
        <v>110.80800000000001</v>
      </c>
      <c r="M14" s="5"/>
    </row>
    <row r="15" spans="2:15" ht="19.5" x14ac:dyDescent="0.3">
      <c r="B15" s="5"/>
      <c r="C15" s="209"/>
      <c r="D15" s="208"/>
      <c r="E15" s="18" t="s">
        <v>39</v>
      </c>
      <c r="F15" s="11">
        <f>J4*Лист!M5+'Лазерная печать'!J4*'Лазерная печать'!J5*Лист!K20</f>
        <v>220.32000000000002</v>
      </c>
      <c r="G15" s="11">
        <f>J4*Лист!M5+'Лазерная печать'!J4*'Лазерная печать'!J5*Лист!L20</f>
        <v>181.44000000000003</v>
      </c>
      <c r="H15" s="11">
        <f>J4*Лист!M5+'Лазерная печать'!J4*'Лазерная печать'!J5*Лист!M20</f>
        <v>158.11200000000002</v>
      </c>
      <c r="I15" s="11">
        <f>J4*Лист!M5+'Лазерная печать'!J4*'Лазерная печать'!J5*Лист!N20</f>
        <v>142.56</v>
      </c>
      <c r="J15" s="11">
        <f>J4*Лист!M5+'Лазерная печать'!J4*'Лазерная печать'!J5*Лист!O20</f>
        <v>138.67200000000003</v>
      </c>
      <c r="K15" s="11">
        <f>J4*Лист!M5+'Лазерная печать'!J4*'Лазерная печать'!J5*Лист!P20</f>
        <v>134.78399999999999</v>
      </c>
      <c r="L15" s="11">
        <f>J4*Лист!M5+'Лазерная печать'!J4*'Лазерная печать'!J5*Лист!Q20</f>
        <v>127.00800000000001</v>
      </c>
      <c r="M15" s="5"/>
    </row>
    <row r="16" spans="2:15" ht="19.5" x14ac:dyDescent="0.3">
      <c r="B16" s="5"/>
      <c r="C16" s="209"/>
      <c r="D16" s="208"/>
      <c r="E16" s="19" t="s">
        <v>40</v>
      </c>
      <c r="F16" s="12">
        <f>J4*Лист!M6+'Лазерная печать'!J4*'Лазерная печать'!J5*Лист!K20</f>
        <v>236.52</v>
      </c>
      <c r="G16" s="12">
        <f>J4*Лист!M6+'Лазерная печать'!J4*'Лазерная печать'!J5*Лист!L20</f>
        <v>197.64000000000001</v>
      </c>
      <c r="H16" s="12">
        <f>J4*Лист!M6+'Лазерная печать'!J4*'Лазерная печать'!J5*Лист!M20</f>
        <v>174.31200000000001</v>
      </c>
      <c r="I16" s="12">
        <f>J4*Лист!M6+'Лазерная печать'!J4*'Лазерная печать'!J5*Лист!N20</f>
        <v>158.76</v>
      </c>
      <c r="J16" s="12">
        <f>J4*Лист!M6+'Лазерная печать'!J4*'Лазерная печать'!J5*Лист!O20</f>
        <v>154.87200000000001</v>
      </c>
      <c r="K16" s="12">
        <f>J4*Лист!M6+'Лазерная печать'!J4*'Лазерная печать'!J5*Лист!P20</f>
        <v>150.98399999999998</v>
      </c>
      <c r="L16" s="12">
        <f>J4*Лист!M6+'Лазерная печать'!J4*'Лазерная печать'!J5*Лист!Q20</f>
        <v>143.208</v>
      </c>
      <c r="M16" s="5"/>
    </row>
    <row r="17" spans="2:13" ht="19.5" x14ac:dyDescent="0.3">
      <c r="B17" s="5"/>
      <c r="C17" s="209"/>
      <c r="D17" s="208"/>
      <c r="E17" s="18" t="s">
        <v>36</v>
      </c>
      <c r="F17" s="11">
        <f>J4*Лист!M7+'Лазерная печать'!J4*'Лазерная печать'!J5*Лист!K20</f>
        <v>252.72000000000003</v>
      </c>
      <c r="G17" s="11">
        <f>J4*Лист!M7+'Лазерная печать'!J4*'Лазерная печать'!J5*Лист!L20</f>
        <v>213.84000000000003</v>
      </c>
      <c r="H17" s="11">
        <f>J4*Лист!M7+'Лазерная печать'!J4*'Лазерная печать'!J5*Лист!M20</f>
        <v>190.512</v>
      </c>
      <c r="I17" s="11">
        <f>J4*Лист!M7+'Лазерная печать'!J4*'Лазерная печать'!J5*Лист!N20</f>
        <v>174.96</v>
      </c>
      <c r="J17" s="11">
        <f>J4*Лист!M7+'Лазерная печать'!J4*'Лазерная печать'!J5*Лист!O20</f>
        <v>171.072</v>
      </c>
      <c r="K17" s="11">
        <f>J4*Лист!M7+'Лазерная печать'!J4*'Лазерная печать'!J5*Лист!P20</f>
        <v>167.184</v>
      </c>
      <c r="L17" s="11">
        <f>J4*Лист!M7+'Лазерная печать'!J4*'Лазерная печать'!J5*Лист!Q20</f>
        <v>159.40800000000002</v>
      </c>
      <c r="M17" s="5"/>
    </row>
    <row r="18" spans="2:13" ht="19.5" x14ac:dyDescent="0.3">
      <c r="B18" s="5"/>
      <c r="C18" s="209"/>
      <c r="D18" s="208"/>
      <c r="E18" s="19" t="s">
        <v>41</v>
      </c>
      <c r="F18" s="12">
        <f>J4*Лист!M8+'Лазерная печать'!J4*'Лазерная печать'!J5*Лист!K20</f>
        <v>260.82000000000005</v>
      </c>
      <c r="G18" s="12">
        <f>J4*Лист!M8+'Лазерная печать'!J4*'Лазерная печать'!J5*Лист!L20</f>
        <v>221.94000000000003</v>
      </c>
      <c r="H18" s="12">
        <f>J4*Лист!M8+'Лазерная печать'!J4*'Лазерная печать'!J5*Лист!M20</f>
        <v>198.61200000000002</v>
      </c>
      <c r="I18" s="12">
        <f>J4*Лист!M8+'Лазерная печать'!J4*'Лазерная печать'!J5*Лист!N20</f>
        <v>183.06</v>
      </c>
      <c r="J18" s="12">
        <f>J4*Лист!M8+'Лазерная печать'!J4*'Лазерная печать'!J5*Лист!O20</f>
        <v>179.17200000000003</v>
      </c>
      <c r="K18" s="12">
        <f>J4*Лист!M8+'Лазерная печать'!J4*'Лазерная печать'!J5*Лист!P20</f>
        <v>175.28399999999999</v>
      </c>
      <c r="L18" s="12">
        <f>J4*Лист!M8+'Лазерная печать'!J4*'Лазерная печать'!J5*Лист!Q20</f>
        <v>167.50800000000001</v>
      </c>
      <c r="M18" s="5"/>
    </row>
    <row r="19" spans="2:13" ht="19.5" x14ac:dyDescent="0.3">
      <c r="B19" s="5"/>
      <c r="C19" s="209"/>
      <c r="D19" s="208"/>
      <c r="E19" s="18" t="s">
        <v>42</v>
      </c>
      <c r="F19" s="11">
        <f>J4*Лист!M9+'Лазерная печать'!J4*'Лазерная печать'!J5*Лист!K20</f>
        <v>268.92</v>
      </c>
      <c r="G19" s="11">
        <f>J4*Лист!M9+'Лазерная печать'!J4*'Лазерная печать'!J5*Лист!L20</f>
        <v>230.04000000000002</v>
      </c>
      <c r="H19" s="11">
        <f>J4*Лист!M9+'Лазерная печать'!J4*'Лазерная печать'!J5*Лист!M20</f>
        <v>206.71199999999999</v>
      </c>
      <c r="I19" s="11">
        <f>J4*Лист!M9+'Лазерная печать'!J4*'Лазерная печать'!J5*Лист!N20</f>
        <v>191.16000000000003</v>
      </c>
      <c r="J19" s="11">
        <f>J4*Лист!M9+'Лазерная печать'!J4*'Лазерная печать'!J5*Лист!O20</f>
        <v>187.27199999999999</v>
      </c>
      <c r="K19" s="11">
        <f>J4*Лист!M9+'Лазерная печать'!J4*'Лазерная печать'!J5*Лист!P20</f>
        <v>183.38400000000001</v>
      </c>
      <c r="L19" s="11">
        <f>J4*Лист!M9+'Лазерная печать'!J4*'Лазерная печать'!J5*Лист!Q20</f>
        <v>175.608</v>
      </c>
      <c r="M19" s="5"/>
    </row>
    <row r="20" spans="2:13" ht="19.5" x14ac:dyDescent="0.3">
      <c r="B20" s="5"/>
      <c r="C20" s="209"/>
      <c r="D20" s="13" t="s">
        <v>4</v>
      </c>
      <c r="E20" s="19" t="s">
        <v>43</v>
      </c>
      <c r="F20" s="12">
        <f>J4*Лист!M10+'Лазерная печать'!J4*'Лазерная печать'!J5*Лист!K20</f>
        <v>268.92</v>
      </c>
      <c r="G20" s="12">
        <f>J4*Лист!M10+'Лазерная печать'!J4*'Лазерная печать'!J5*Лист!L20</f>
        <v>230.04000000000002</v>
      </c>
      <c r="H20" s="12">
        <f>J4*Лист!M10+'Лазерная печать'!J4*'Лазерная печать'!J5*Лист!M20</f>
        <v>206.71199999999999</v>
      </c>
      <c r="I20" s="12">
        <f>J4*Лист!M10+'Лазерная печать'!J4*'Лазерная печать'!J5*Лист!N20</f>
        <v>191.16000000000003</v>
      </c>
      <c r="J20" s="12">
        <f>J4*Лист!M10+'Лазерная печать'!J4*'Лазерная печать'!J5*Лист!O20</f>
        <v>187.27199999999999</v>
      </c>
      <c r="K20" s="12">
        <f>J4*Лист!M10+'Лазерная печать'!J4*'Лазерная печать'!J5*Лист!P20</f>
        <v>183.38400000000001</v>
      </c>
      <c r="L20" s="12">
        <f>J4*Лист!M10+'Лазерная печать'!J4*'Лазерная печать'!J5*Лист!Q20</f>
        <v>175.608</v>
      </c>
      <c r="M20" s="5"/>
    </row>
    <row r="21" spans="2:13" ht="19.5" x14ac:dyDescent="0.3">
      <c r="B21" s="5"/>
      <c r="C21" s="209"/>
      <c r="D21" s="13" t="s">
        <v>29</v>
      </c>
      <c r="E21" s="18" t="s">
        <v>44</v>
      </c>
      <c r="F21" s="11">
        <f>J4*Лист!M11+'Лазерная печать'!J4*'Лазерная печать'!J5*Лист!K20</f>
        <v>349.92</v>
      </c>
      <c r="G21" s="11">
        <f>J4*Лист!M11+'Лазерная печать'!J4*'Лазерная печать'!J5*Лист!L20</f>
        <v>311.04000000000002</v>
      </c>
      <c r="H21" s="11">
        <f>J4*Лист!M11+'Лазерная печать'!J4*'Лазерная печать'!J5*Лист!M20</f>
        <v>287.71199999999999</v>
      </c>
      <c r="I21" s="11">
        <f>J4*Лист!M11+'Лазерная печать'!J4*'Лазерная печать'!J5*Лист!N20</f>
        <v>272.16000000000003</v>
      </c>
      <c r="J21" s="11">
        <f>J4*Лист!M11+'Лазерная печать'!J4*'Лазерная печать'!J5*Лист!O20</f>
        <v>268.27199999999999</v>
      </c>
      <c r="K21" s="11">
        <f>J4*Лист!M11+'Лазерная печать'!J4*'Лазерная печать'!J5*Лист!P20</f>
        <v>264.38400000000001</v>
      </c>
      <c r="L21" s="11">
        <f>J4*Лист!M11+'Лазерная печать'!J4*'Лазерная печать'!J5*Лист!Q20</f>
        <v>256.608</v>
      </c>
      <c r="M21" s="5"/>
    </row>
    <row r="22" spans="2:13" ht="18" customHeight="1" x14ac:dyDescent="0.3">
      <c r="B22" s="5"/>
      <c r="C22" s="2" t="s">
        <v>31</v>
      </c>
      <c r="D22" s="14"/>
      <c r="E22" s="15"/>
      <c r="F22" s="16"/>
      <c r="G22" s="16"/>
      <c r="H22" s="16"/>
      <c r="I22" s="16"/>
      <c r="J22" s="16"/>
      <c r="K22" s="16"/>
      <c r="L22" s="16"/>
      <c r="M22" s="5"/>
    </row>
    <row r="23" spans="2:13" ht="12.95" customHeight="1" x14ac:dyDescent="0.25">
      <c r="B23" s="5"/>
      <c r="C23" s="2" t="s">
        <v>48</v>
      </c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12.95" customHeight="1" x14ac:dyDescent="0.25">
      <c r="B24" s="5"/>
      <c r="C24" s="2" t="s">
        <v>110</v>
      </c>
      <c r="D24" s="5"/>
      <c r="E24" s="5"/>
      <c r="F24" s="5"/>
      <c r="G24" s="5"/>
      <c r="H24" s="5"/>
      <c r="I24" s="5"/>
      <c r="J24" s="5"/>
      <c r="K24" s="5"/>
      <c r="L24" s="5"/>
    </row>
    <row r="25" spans="2:13" ht="12.95" customHeight="1" x14ac:dyDescent="0.25">
      <c r="B25" s="5"/>
      <c r="C25" s="22" t="s">
        <v>30</v>
      </c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57" customHeight="1" x14ac:dyDescent="0.25">
      <c r="B26" s="5"/>
      <c r="C26" s="21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sheetProtection algorithmName="SHA-512" hashValue="s7/gNvv69x9/d34LV+cj96jFot6WBaoe596lmio4R0e+iVEvUNzx2xqIz59aLMRTuKNH/K/Y1JrVOHqjPW6gJQ==" saltValue="+Sr1b54B9tuVNMYKRhj78A==" spinCount="100000" sheet="1" selectLockedCells="1"/>
  <mergeCells count="10">
    <mergeCell ref="C1:L1"/>
    <mergeCell ref="D2:L2"/>
    <mergeCell ref="F7:L7"/>
    <mergeCell ref="D9:D13"/>
    <mergeCell ref="D14:D19"/>
    <mergeCell ref="C9:C21"/>
    <mergeCell ref="E4:G4"/>
    <mergeCell ref="E5:G5"/>
    <mergeCell ref="H4:I4"/>
    <mergeCell ref="H5:I5"/>
  </mergeCells>
  <pageMargins left="0.7" right="0.7" top="0.75" bottom="0.75" header="0.3" footer="0.3"/>
  <pageSetup paperSize="9" orientation="portrait" horizontalDpi="254" verticalDpi="0" r:id="rId1"/>
  <ignoredErrors>
    <ignoredError sqref="G8" twoDigitTextYea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Лист!$N$1:$N$3</xm:f>
          </x14:formula1>
          <xm:sqref>H4</xm:sqref>
        </x14:dataValidation>
        <x14:dataValidation type="list" allowBlank="1" showInputMessage="1" showErrorMessage="1">
          <x14:formula1>
            <xm:f>Лист!$P$1:$P$2</xm:f>
          </x14:formula1>
          <xm:sqref>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S64"/>
  <sheetViews>
    <sheetView topLeftCell="A76" zoomScale="85" zoomScaleNormal="85" workbookViewId="0">
      <selection activeCell="J125" sqref="J125"/>
    </sheetView>
  </sheetViews>
  <sheetFormatPr defaultColWidth="8.85546875" defaultRowHeight="13.9" customHeight="1" x14ac:dyDescent="0.25"/>
  <cols>
    <col min="1" max="1" width="26.140625" style="127" customWidth="1"/>
    <col min="2" max="2" width="10.5703125" style="128" customWidth="1"/>
    <col min="3" max="3" width="10.28515625" style="128" bestFit="1" customWidth="1"/>
    <col min="4" max="4" width="11.5703125" style="128" customWidth="1"/>
    <col min="5" max="5" width="10" style="128" customWidth="1"/>
    <col min="6" max="6" width="13.42578125" style="128" bestFit="1" customWidth="1"/>
    <col min="7" max="7" width="12.85546875" style="128" customWidth="1"/>
    <col min="8" max="8" width="12" style="128" customWidth="1"/>
    <col min="9" max="9" width="16.5703125" style="128" customWidth="1"/>
    <col min="10" max="10" width="24" style="128" customWidth="1"/>
    <col min="11" max="13" width="9" style="128" bestFit="1" customWidth="1"/>
    <col min="14" max="14" width="11.7109375" style="128" customWidth="1"/>
    <col min="15" max="17" width="9" style="128" bestFit="1" customWidth="1"/>
    <col min="18" max="18" width="22.7109375" style="128" customWidth="1"/>
    <col min="19" max="19" width="9" style="128" bestFit="1" customWidth="1"/>
    <col min="20" max="16384" width="8.85546875" style="128"/>
  </cols>
  <sheetData>
    <row r="1" spans="1:19" s="124" customFormat="1" ht="13.9" customHeight="1" x14ac:dyDescent="0.25">
      <c r="A1" s="123"/>
      <c r="F1" s="125"/>
      <c r="G1" s="126"/>
      <c r="I1" s="4" t="s">
        <v>1</v>
      </c>
      <c r="J1" s="4" t="s">
        <v>2</v>
      </c>
      <c r="K1" s="4">
        <v>80</v>
      </c>
      <c r="L1" s="4">
        <v>15</v>
      </c>
      <c r="M1" s="124">
        <f>L1*S2</f>
        <v>22.5</v>
      </c>
      <c r="N1" s="124" t="s">
        <v>14</v>
      </c>
      <c r="O1" s="124">
        <v>1.08</v>
      </c>
      <c r="P1" s="124" t="s">
        <v>18</v>
      </c>
      <c r="R1" s="124" t="s">
        <v>20</v>
      </c>
      <c r="S1" s="124">
        <v>36</v>
      </c>
    </row>
    <row r="2" spans="1:19" ht="13.9" customHeight="1" x14ac:dyDescent="0.25">
      <c r="F2" s="129"/>
      <c r="G2" s="130"/>
      <c r="I2" s="4"/>
      <c r="J2" s="4" t="s">
        <v>2</v>
      </c>
      <c r="K2" s="4">
        <v>160</v>
      </c>
      <c r="L2" s="4">
        <v>40</v>
      </c>
      <c r="M2" s="128">
        <f>L2*S2</f>
        <v>60</v>
      </c>
      <c r="N2" s="128" t="s">
        <v>15</v>
      </c>
      <c r="O2" s="128">
        <v>2</v>
      </c>
      <c r="P2" s="128" t="s">
        <v>19</v>
      </c>
      <c r="R2" s="128" t="s">
        <v>21</v>
      </c>
      <c r="S2" s="128">
        <v>1.5</v>
      </c>
    </row>
    <row r="3" spans="1:19" ht="13.9" customHeight="1" x14ac:dyDescent="0.25">
      <c r="A3" s="131"/>
      <c r="F3" s="129"/>
      <c r="G3" s="130"/>
      <c r="I3" s="4"/>
      <c r="J3" s="4" t="s">
        <v>2</v>
      </c>
      <c r="K3" s="4">
        <v>300</v>
      </c>
      <c r="L3" s="4">
        <v>70</v>
      </c>
      <c r="M3" s="128">
        <f>S2*L3</f>
        <v>105</v>
      </c>
      <c r="N3" s="128" t="s">
        <v>16</v>
      </c>
      <c r="O3" s="128">
        <v>2</v>
      </c>
    </row>
    <row r="4" spans="1:19" ht="13.9" customHeight="1" x14ac:dyDescent="0.25">
      <c r="I4" s="4"/>
      <c r="J4" s="4" t="s">
        <v>3</v>
      </c>
      <c r="K4" s="4">
        <v>130</v>
      </c>
      <c r="L4" s="4">
        <v>30</v>
      </c>
      <c r="M4" s="128">
        <f>S2*L4</f>
        <v>45</v>
      </c>
    </row>
    <row r="5" spans="1:19" ht="13.9" customHeight="1" x14ac:dyDescent="0.25">
      <c r="I5" s="4"/>
      <c r="J5" s="4" t="s">
        <v>3</v>
      </c>
      <c r="K5" s="4">
        <v>150</v>
      </c>
      <c r="L5" s="4">
        <v>40</v>
      </c>
      <c r="M5" s="128">
        <f>S2*L5</f>
        <v>60</v>
      </c>
    </row>
    <row r="6" spans="1:19" ht="13.9" customHeight="1" x14ac:dyDescent="0.25">
      <c r="I6" s="4"/>
      <c r="J6" s="4" t="s">
        <v>3</v>
      </c>
      <c r="K6" s="4">
        <v>170</v>
      </c>
      <c r="L6" s="4">
        <v>50</v>
      </c>
      <c r="M6" s="128">
        <f>S2*L6</f>
        <v>75</v>
      </c>
    </row>
    <row r="7" spans="1:19" ht="13.9" customHeight="1" x14ac:dyDescent="0.25">
      <c r="I7" s="4"/>
      <c r="J7" s="4" t="s">
        <v>3</v>
      </c>
      <c r="K7" s="4">
        <v>200</v>
      </c>
      <c r="L7" s="4">
        <v>60</v>
      </c>
      <c r="M7" s="128">
        <f>S2*L7</f>
        <v>90</v>
      </c>
      <c r="O7" s="128">
        <v>2</v>
      </c>
    </row>
    <row r="8" spans="1:19" ht="13.9" customHeight="1" x14ac:dyDescent="0.25">
      <c r="I8" s="4"/>
      <c r="J8" s="4" t="s">
        <v>3</v>
      </c>
      <c r="K8" s="4">
        <v>250</v>
      </c>
      <c r="L8" s="4">
        <v>65</v>
      </c>
      <c r="M8" s="128">
        <f>S2*L8</f>
        <v>97.5</v>
      </c>
      <c r="O8" s="128">
        <v>3</v>
      </c>
    </row>
    <row r="9" spans="1:19" ht="13.9" customHeight="1" x14ac:dyDescent="0.25">
      <c r="I9" s="4"/>
      <c r="J9" s="4" t="s">
        <v>3</v>
      </c>
      <c r="K9" s="4">
        <v>300</v>
      </c>
      <c r="L9" s="4">
        <v>70</v>
      </c>
      <c r="M9" s="128">
        <f>S2*L9</f>
        <v>105</v>
      </c>
      <c r="O9" s="128">
        <v>4</v>
      </c>
    </row>
    <row r="10" spans="1:19" ht="13.9" customHeight="1" x14ac:dyDescent="0.25">
      <c r="I10" s="4" t="s">
        <v>45</v>
      </c>
      <c r="J10" s="4" t="s">
        <v>4</v>
      </c>
      <c r="K10" s="4">
        <v>130</v>
      </c>
      <c r="L10" s="4">
        <v>70</v>
      </c>
      <c r="M10" s="128">
        <f>S2*L10</f>
        <v>105</v>
      </c>
      <c r="O10" s="128">
        <v>5</v>
      </c>
    </row>
    <row r="11" spans="1:19" ht="13.9" customHeight="1" x14ac:dyDescent="0.25">
      <c r="I11" s="4" t="str">
        <f>IF(OR((D11+D13)&gt;100,D11&gt;60,D13&gt;60),"до 60х40"," ")</f>
        <v xml:space="preserve"> </v>
      </c>
      <c r="J11" s="4" t="s">
        <v>5</v>
      </c>
      <c r="K11" s="4">
        <v>280</v>
      </c>
      <c r="L11" s="4">
        <v>120</v>
      </c>
      <c r="M11" s="128">
        <f>S2*L11</f>
        <v>180</v>
      </c>
    </row>
    <row r="12" spans="1:19" ht="13.9" customHeight="1" x14ac:dyDescent="0.25">
      <c r="I12" s="128" t="str">
        <f>IF(OR((D11+D13)&gt;100,D11&gt;60,D13&gt;60),"до 60х40"," ")</f>
        <v xml:space="preserve"> </v>
      </c>
      <c r="J12" s="4" t="s">
        <v>2</v>
      </c>
      <c r="K12" s="4">
        <v>120</v>
      </c>
      <c r="L12" s="4">
        <v>30</v>
      </c>
      <c r="M12" s="128">
        <f>L12*S2</f>
        <v>45</v>
      </c>
    </row>
    <row r="13" spans="1:19" ht="13.9" customHeight="1" x14ac:dyDescent="0.25">
      <c r="I13" s="128" t="str">
        <f>IF(OR((D11+D13)&gt;300,D11&gt;200,D13&gt;200),"до 200х100"," ")</f>
        <v xml:space="preserve"> </v>
      </c>
      <c r="J13" s="4" t="s">
        <v>2</v>
      </c>
      <c r="K13" s="4">
        <v>200</v>
      </c>
      <c r="L13" s="4">
        <v>50</v>
      </c>
      <c r="M13" s="128">
        <f>L13*S2</f>
        <v>75</v>
      </c>
    </row>
    <row r="14" spans="1:19" ht="13.9" customHeight="1" x14ac:dyDescent="0.25">
      <c r="I14" s="128" t="str">
        <f>IF(OR((D11+D13)&gt;300,D11&gt;200,D13&gt;200),"до 200х100"," ")</f>
        <v xml:space="preserve"> </v>
      </c>
    </row>
    <row r="18" spans="1:17" ht="13.9" customHeight="1" x14ac:dyDescent="0.25">
      <c r="J18" s="4" t="s">
        <v>6</v>
      </c>
      <c r="K18" s="132" t="s">
        <v>7</v>
      </c>
      <c r="L18" s="132" t="s">
        <v>8</v>
      </c>
      <c r="M18" s="132" t="s">
        <v>9</v>
      </c>
      <c r="N18" s="132" t="s">
        <v>10</v>
      </c>
      <c r="O18" s="132" t="s">
        <v>11</v>
      </c>
      <c r="P18" s="132" t="s">
        <v>12</v>
      </c>
      <c r="Q18" s="132" t="s">
        <v>13</v>
      </c>
    </row>
    <row r="19" spans="1:17" ht="13.9" customHeight="1" x14ac:dyDescent="0.25">
      <c r="J19" s="128" t="s">
        <v>24</v>
      </c>
      <c r="K19" s="128">
        <v>2</v>
      </c>
      <c r="L19" s="128">
        <v>1.5</v>
      </c>
      <c r="M19" s="128">
        <v>1.2</v>
      </c>
      <c r="N19" s="128">
        <v>1</v>
      </c>
      <c r="O19" s="128">
        <v>0.95</v>
      </c>
      <c r="P19" s="128">
        <v>0.9</v>
      </c>
      <c r="Q19" s="128">
        <v>0.8</v>
      </c>
    </row>
    <row r="20" spans="1:17" ht="13.9" customHeight="1" x14ac:dyDescent="0.25">
      <c r="J20" s="128" t="s">
        <v>25</v>
      </c>
      <c r="K20" s="128">
        <f>K19*S1</f>
        <v>72</v>
      </c>
      <c r="L20" s="128">
        <f>L19*S1</f>
        <v>54</v>
      </c>
      <c r="M20" s="128">
        <f>M19*S1</f>
        <v>43.199999999999996</v>
      </c>
      <c r="N20" s="128">
        <f>N19*S1</f>
        <v>36</v>
      </c>
      <c r="O20" s="128">
        <f>O19*S1</f>
        <v>34.199999999999996</v>
      </c>
      <c r="P20" s="128">
        <f>P19*S1</f>
        <v>32.4</v>
      </c>
      <c r="Q20" s="128">
        <f>Q19*S1</f>
        <v>28.8</v>
      </c>
    </row>
    <row r="22" spans="1:17" ht="13.9" customHeight="1" x14ac:dyDescent="0.25">
      <c r="A22" s="215"/>
      <c r="B22" s="215"/>
      <c r="C22" s="215"/>
      <c r="D22" s="215"/>
      <c r="E22" s="215"/>
      <c r="F22" s="215"/>
      <c r="G22" s="215"/>
      <c r="H22" s="215"/>
      <c r="I22" s="215"/>
      <c r="J22" s="215"/>
    </row>
    <row r="23" spans="1:17" ht="13.9" customHeight="1" x14ac:dyDescent="0.25">
      <c r="A23" s="133"/>
      <c r="B23" s="133"/>
      <c r="C23" s="133"/>
      <c r="D23" s="133"/>
      <c r="E23" s="133"/>
      <c r="F23" s="133"/>
      <c r="G23" s="133"/>
      <c r="H23" s="133"/>
      <c r="I23" s="133"/>
      <c r="J23" s="133"/>
    </row>
    <row r="24" spans="1:17" ht="15" x14ac:dyDescent="0.25">
      <c r="A24" s="134"/>
      <c r="C24" s="134" t="s">
        <v>105</v>
      </c>
      <c r="D24" s="135">
        <f>ROUNDDOWN(0.12/((G40+0.2)*(G41+0.2)/10000),0)</f>
        <v>44</v>
      </c>
      <c r="F24" s="136" t="s">
        <v>46</v>
      </c>
      <c r="J24" s="137"/>
    </row>
    <row r="25" spans="1:17" ht="13.9" customHeight="1" x14ac:dyDescent="0.25">
      <c r="A25" s="128"/>
      <c r="F25" s="136" t="s">
        <v>47</v>
      </c>
    </row>
    <row r="26" spans="1:17" ht="13.9" customHeight="1" x14ac:dyDescent="0.25">
      <c r="A26" s="128"/>
      <c r="B26" s="138" t="s">
        <v>91</v>
      </c>
      <c r="C26" s="138" t="s">
        <v>92</v>
      </c>
    </row>
    <row r="27" spans="1:17" ht="13.9" customHeight="1" x14ac:dyDescent="0.25">
      <c r="A27" s="139" t="s">
        <v>49</v>
      </c>
      <c r="B27" s="138" t="s">
        <v>87</v>
      </c>
      <c r="C27" s="138" t="s">
        <v>88</v>
      </c>
      <c r="J27" s="140"/>
    </row>
    <row r="28" spans="1:17" ht="13.9" customHeight="1" x14ac:dyDescent="0.25">
      <c r="A28" s="128">
        <v>3</v>
      </c>
      <c r="B28" s="141" t="s">
        <v>79</v>
      </c>
      <c r="C28" s="141">
        <v>126</v>
      </c>
      <c r="E28" s="136"/>
      <c r="F28" s="133"/>
      <c r="G28" s="138"/>
      <c r="H28" s="142"/>
      <c r="J28" s="143"/>
    </row>
    <row r="29" spans="1:17" ht="13.9" customHeight="1" x14ac:dyDescent="0.25">
      <c r="A29" s="128">
        <v>4</v>
      </c>
      <c r="B29" s="141" t="s">
        <v>78</v>
      </c>
      <c r="C29" s="141">
        <v>70</v>
      </c>
      <c r="E29" s="136"/>
      <c r="F29" s="133"/>
      <c r="G29" s="138"/>
      <c r="H29" s="142"/>
      <c r="J29" s="143"/>
    </row>
    <row r="30" spans="1:17" ht="13.9" customHeight="1" x14ac:dyDescent="0.25">
      <c r="A30" s="139">
        <v>5</v>
      </c>
      <c r="B30" s="141" t="s">
        <v>77</v>
      </c>
      <c r="C30" s="141">
        <v>48</v>
      </c>
    </row>
    <row r="31" spans="1:17" ht="13.9" customHeight="1" x14ac:dyDescent="0.25">
      <c r="A31" s="128">
        <v>6</v>
      </c>
      <c r="B31" s="141" t="s">
        <v>80</v>
      </c>
      <c r="C31" s="141">
        <v>30</v>
      </c>
    </row>
    <row r="32" spans="1:17" ht="13.9" customHeight="1" x14ac:dyDescent="0.25">
      <c r="A32" s="128">
        <v>7</v>
      </c>
      <c r="B32" s="141" t="s">
        <v>81</v>
      </c>
      <c r="C32" s="141">
        <v>24</v>
      </c>
    </row>
    <row r="33" spans="1:12" ht="13.9" customHeight="1" x14ac:dyDescent="0.25">
      <c r="A33" s="128">
        <v>8</v>
      </c>
      <c r="B33" s="141" t="s">
        <v>82</v>
      </c>
      <c r="C33" s="141">
        <v>18</v>
      </c>
    </row>
    <row r="34" spans="1:12" ht="13.9" customHeight="1" x14ac:dyDescent="0.25">
      <c r="A34" s="128">
        <v>9</v>
      </c>
      <c r="B34" s="141" t="s">
        <v>83</v>
      </c>
      <c r="C34" s="141">
        <v>12</v>
      </c>
    </row>
    <row r="35" spans="1:12" ht="13.9" customHeight="1" x14ac:dyDescent="0.25">
      <c r="A35" s="128">
        <v>10</v>
      </c>
      <c r="B35" s="141" t="s">
        <v>84</v>
      </c>
      <c r="C35" s="141">
        <v>12</v>
      </c>
    </row>
    <row r="36" spans="1:12" ht="13.9" customHeight="1" x14ac:dyDescent="0.25">
      <c r="A36" s="139" t="s">
        <v>50</v>
      </c>
    </row>
    <row r="37" spans="1:12" ht="13.9" customHeight="1" x14ac:dyDescent="0.25">
      <c r="A37" s="139" t="s">
        <v>51</v>
      </c>
      <c r="B37" s="144">
        <v>204</v>
      </c>
      <c r="C37" s="145">
        <v>247</v>
      </c>
      <c r="D37" s="139"/>
      <c r="F37" s="138"/>
      <c r="G37" s="138"/>
      <c r="H37" s="138"/>
      <c r="I37" s="138"/>
      <c r="J37" s="138"/>
      <c r="K37" s="138"/>
    </row>
    <row r="38" spans="1:12" ht="13.9" customHeight="1" x14ac:dyDescent="0.25">
      <c r="A38" s="139" t="s">
        <v>52</v>
      </c>
      <c r="B38" s="144">
        <v>96</v>
      </c>
      <c r="C38" s="145">
        <v>117</v>
      </c>
      <c r="D38" s="146"/>
      <c r="F38" s="136" t="s">
        <v>130</v>
      </c>
      <c r="G38" s="147">
        <f>ROUNDUP(I40/D24,0)</f>
        <v>23</v>
      </c>
      <c r="H38" s="148"/>
      <c r="I38" s="149"/>
      <c r="J38" s="142"/>
      <c r="K38" s="138"/>
    </row>
    <row r="39" spans="1:12" ht="13.9" customHeight="1" x14ac:dyDescent="0.25">
      <c r="A39" s="139" t="s">
        <v>54</v>
      </c>
      <c r="B39" s="144">
        <v>54</v>
      </c>
      <c r="C39" s="145">
        <v>70</v>
      </c>
      <c r="D39" s="150"/>
      <c r="G39" s="151"/>
      <c r="J39" s="142"/>
      <c r="K39" s="138"/>
    </row>
    <row r="40" spans="1:12" ht="13.9" customHeight="1" x14ac:dyDescent="0.25">
      <c r="A40" s="139" t="s">
        <v>53</v>
      </c>
      <c r="B40" s="144">
        <v>35</v>
      </c>
      <c r="C40" s="145">
        <v>40</v>
      </c>
      <c r="D40" s="150"/>
      <c r="F40" s="134" t="s">
        <v>89</v>
      </c>
      <c r="G40" s="147">
        <f>Наклейки!C4/10</f>
        <v>5</v>
      </c>
      <c r="H40" s="136" t="s">
        <v>85</v>
      </c>
      <c r="I40" s="152">
        <f>Наклейки!C6</f>
        <v>1000</v>
      </c>
    </row>
    <row r="41" spans="1:12" ht="13.9" customHeight="1" x14ac:dyDescent="0.25">
      <c r="A41" s="139" t="s">
        <v>55</v>
      </c>
      <c r="B41" s="144">
        <v>24</v>
      </c>
      <c r="C41" s="145">
        <v>24</v>
      </c>
      <c r="F41" s="134" t="s">
        <v>90</v>
      </c>
      <c r="G41" s="147">
        <f>Наклейки!C5/10</f>
        <v>5</v>
      </c>
      <c r="J41" s="138"/>
    </row>
    <row r="42" spans="1:12" ht="13.9" customHeight="1" x14ac:dyDescent="0.25">
      <c r="A42" s="139" t="s">
        <v>56</v>
      </c>
      <c r="B42" s="144">
        <v>15</v>
      </c>
      <c r="C42" s="145">
        <v>20</v>
      </c>
    </row>
    <row r="43" spans="1:12" ht="13.9" customHeight="1" x14ac:dyDescent="0.25">
      <c r="A43" s="139" t="s">
        <v>57</v>
      </c>
      <c r="B43" s="144">
        <v>12</v>
      </c>
      <c r="C43" s="145">
        <v>15</v>
      </c>
      <c r="E43" s="151" t="s">
        <v>132</v>
      </c>
    </row>
    <row r="44" spans="1:12" ht="13.9" customHeight="1" x14ac:dyDescent="0.25">
      <c r="A44" s="139" t="s">
        <v>58</v>
      </c>
      <c r="B44" s="144">
        <v>12</v>
      </c>
      <c r="C44" s="145">
        <v>12</v>
      </c>
      <c r="D44" s="146"/>
      <c r="E44" s="139" t="s">
        <v>131</v>
      </c>
      <c r="F44" s="138">
        <f>IF(AND(CEILING(5*D24,100)&lt;500,500/D24&gt;5),CEILING(5*D24,100),0)</f>
        <v>300</v>
      </c>
      <c r="G44" s="138">
        <f>IF(AND(CEILING(5*D24,100)&lt;1000,D24*5&lt;500),500,0)</f>
        <v>500</v>
      </c>
      <c r="H44" s="138">
        <f>IF(D24*5&gt;1000,0,1000)</f>
        <v>1000</v>
      </c>
      <c r="I44" s="138">
        <f>IF(D24*5&gt;2000,0,2000)</f>
        <v>2000</v>
      </c>
      <c r="J44" s="138">
        <v>5000</v>
      </c>
      <c r="K44" s="138">
        <v>10000</v>
      </c>
      <c r="L44" s="138">
        <v>20000</v>
      </c>
    </row>
    <row r="45" spans="1:12" ht="13.9" customHeight="1" x14ac:dyDescent="0.25">
      <c r="A45" s="139" t="s">
        <v>59</v>
      </c>
      <c r="B45" s="144">
        <v>6</v>
      </c>
      <c r="C45" s="145">
        <v>12</v>
      </c>
      <c r="D45" s="150"/>
      <c r="E45" s="136" t="s">
        <v>112</v>
      </c>
      <c r="F45" s="153">
        <f>ROUNDUP(I53/D24*1.5,0.1)</f>
        <v>16</v>
      </c>
      <c r="G45" s="153">
        <f>ROUNDUP(I53/D24*1.1,0.1)</f>
        <v>12</v>
      </c>
      <c r="H45" s="153">
        <f>ROUNDUP(I53/D24*0.88,0.1)</f>
        <v>9</v>
      </c>
      <c r="I45" s="153">
        <f>ROUNDUP(I53/D24*0.8,1)</f>
        <v>8.1999999999999993</v>
      </c>
      <c r="J45" s="153">
        <f>ROUNDUP(I53/D24*0.72,1)</f>
        <v>7.3999999999999995</v>
      </c>
      <c r="K45" s="153">
        <f>ROUNDUP(I53/D24*0.65,1)</f>
        <v>6.6999999999999993</v>
      </c>
      <c r="L45" s="140">
        <f>ROUNDUP(I53/D24*0.58,1)</f>
        <v>6</v>
      </c>
    </row>
    <row r="46" spans="1:12" ht="13.9" customHeight="1" x14ac:dyDescent="0.25">
      <c r="A46" s="139" t="s">
        <v>60</v>
      </c>
      <c r="B46" s="144"/>
      <c r="C46" s="144"/>
      <c r="D46" s="150"/>
      <c r="E46" s="154" t="s">
        <v>113</v>
      </c>
      <c r="F46" s="155">
        <f>ROUNDUP(F44/D24,0)</f>
        <v>7</v>
      </c>
      <c r="G46" s="155">
        <f>ROUNDUP(G44/D24,0)</f>
        <v>12</v>
      </c>
      <c r="H46" s="155">
        <f>ROUNDUP(H44/D24,0)</f>
        <v>23</v>
      </c>
      <c r="I46" s="155">
        <f>ROUNDUP(I44/D24,0)</f>
        <v>46</v>
      </c>
      <c r="J46" s="155">
        <f>ROUNDUP(J44/D24,0)</f>
        <v>114</v>
      </c>
      <c r="K46" s="155">
        <f>ROUNDUP(K44/D24,0)</f>
        <v>228</v>
      </c>
      <c r="L46" s="155">
        <f>ROUNDUP(L44/D24,0)</f>
        <v>455</v>
      </c>
    </row>
    <row r="47" spans="1:12" ht="13.9" customHeight="1" x14ac:dyDescent="0.25">
      <c r="A47" s="139" t="s">
        <v>61</v>
      </c>
      <c r="B47" s="144">
        <v>136</v>
      </c>
      <c r="C47" s="145">
        <v>171</v>
      </c>
    </row>
    <row r="48" spans="1:12" ht="13.9" customHeight="1" x14ac:dyDescent="0.25">
      <c r="A48" s="139" t="s">
        <v>62</v>
      </c>
      <c r="B48" s="144">
        <v>60</v>
      </c>
      <c r="C48" s="145">
        <v>65</v>
      </c>
      <c r="E48" s="151" t="s">
        <v>133</v>
      </c>
    </row>
    <row r="49" spans="1:12" ht="13.9" customHeight="1" x14ac:dyDescent="0.25">
      <c r="A49" s="139" t="s">
        <v>63</v>
      </c>
      <c r="B49" s="144">
        <v>36</v>
      </c>
      <c r="C49" s="145">
        <v>50</v>
      </c>
      <c r="E49" s="139" t="s">
        <v>131</v>
      </c>
      <c r="F49" s="138">
        <f>IF(AND(CEILING(5*D24,100)&lt;500,500/D24&gt;5),CEILING(5*D24,100),0)</f>
        <v>300</v>
      </c>
      <c r="G49" s="138">
        <f>IF(AND(CEILING(5*D24,100)&lt;1000,D24*5&lt;500),500,0)</f>
        <v>500</v>
      </c>
      <c r="H49" s="138">
        <f>IF(D24*5&gt;1000,0,1000)</f>
        <v>1000</v>
      </c>
      <c r="I49" s="138">
        <f>IF(D24*5&gt;2000,0,2000)</f>
        <v>2000</v>
      </c>
      <c r="J49" s="138">
        <v>5000</v>
      </c>
      <c r="K49" s="138">
        <v>10000</v>
      </c>
      <c r="L49" s="138">
        <v>20000</v>
      </c>
    </row>
    <row r="50" spans="1:12" ht="13.9" customHeight="1" x14ac:dyDescent="0.25">
      <c r="A50" s="139" t="s">
        <v>64</v>
      </c>
      <c r="B50" s="144">
        <v>21</v>
      </c>
      <c r="C50" s="145">
        <v>25</v>
      </c>
      <c r="E50" s="136" t="s">
        <v>112</v>
      </c>
      <c r="F50" s="153">
        <f>ROUNDUP(I53/D24*1.15,0.1)</f>
        <v>12</v>
      </c>
      <c r="G50" s="153">
        <f>ROUNDUP(I53/D24*1,0.1)</f>
        <v>11</v>
      </c>
      <c r="H50" s="153">
        <f>ROUNDUP(I53/D24*0.85,0.1)</f>
        <v>9</v>
      </c>
      <c r="I50" s="153">
        <f>ROUNDUP(I53/D24*0.77,1)</f>
        <v>7.8999999999999995</v>
      </c>
      <c r="J50" s="153">
        <f>ROUNDUP(I53/D24*0.7,1)</f>
        <v>7.1999999999999993</v>
      </c>
      <c r="K50" s="153">
        <f>ROUNDUP(I53/D24*0.62,1)</f>
        <v>6.3999999999999995</v>
      </c>
      <c r="L50" s="140">
        <f>ROUNDUP(I53/D24*0.56,1)</f>
        <v>5.8</v>
      </c>
    </row>
    <row r="51" spans="1:12" ht="13.9" customHeight="1" x14ac:dyDescent="0.25">
      <c r="A51" s="139" t="s">
        <v>65</v>
      </c>
      <c r="B51" s="144">
        <v>18</v>
      </c>
      <c r="C51" s="145">
        <v>18</v>
      </c>
      <c r="E51" s="154" t="s">
        <v>113</v>
      </c>
      <c r="F51" s="155">
        <f>ROUNDUP(F49/D24,0)</f>
        <v>7</v>
      </c>
      <c r="G51" s="155">
        <f>ROUNDUP(G49/D24,0)</f>
        <v>12</v>
      </c>
      <c r="H51" s="155">
        <f>ROUNDUP(H49/D24,0)</f>
        <v>23</v>
      </c>
      <c r="I51" s="155">
        <f>ROUNDUP(I49/D24,0)</f>
        <v>46</v>
      </c>
      <c r="J51" s="155">
        <f>ROUNDUP(J49/D24,0)</f>
        <v>114</v>
      </c>
      <c r="K51" s="155">
        <f>ROUNDUP(K49/D24,0)</f>
        <v>228</v>
      </c>
      <c r="L51" s="155">
        <f>ROUNDUP(L49/D24,0)</f>
        <v>455</v>
      </c>
    </row>
    <row r="52" spans="1:12" ht="13.9" customHeight="1" x14ac:dyDescent="0.25">
      <c r="A52" s="139" t="s">
        <v>66</v>
      </c>
      <c r="B52" s="144">
        <v>10</v>
      </c>
      <c r="C52" s="145">
        <v>16</v>
      </c>
    </row>
    <row r="53" spans="1:12" ht="13.9" customHeight="1" x14ac:dyDescent="0.25">
      <c r="A53" s="139" t="s">
        <v>67</v>
      </c>
      <c r="B53" s="144">
        <v>9</v>
      </c>
      <c r="C53" s="145">
        <v>10</v>
      </c>
      <c r="E53" s="134" t="s">
        <v>114</v>
      </c>
      <c r="F53" s="135">
        <f>IF(Наклейки!C2="Клиент",450,400)</f>
        <v>450</v>
      </c>
      <c r="H53" s="134" t="s">
        <v>115</v>
      </c>
      <c r="I53" s="156">
        <f>IF(D24&lt;F56,F57,IF(D24&lt;G56,G57,IF(D24&lt;H56,H57,IF(D24&lt;I56,I57,IF(D24&lt;J56,J57,IF(D24&lt;K56,K57,L57))))))</f>
        <v>450</v>
      </c>
      <c r="J53" s="151" t="s">
        <v>125</v>
      </c>
      <c r="K53" s="128">
        <f>IF(I40&lt;G44,F45,IF(I40&lt;H44,G45,IF(I40&lt;I44,H45,IF(I40&lt;J44,I45,IF(I40&lt;K44,J45,IF(I40&lt;L44,K45,L45))))))</f>
        <v>9</v>
      </c>
      <c r="L53" s="128">
        <f>IF(I40&lt;G49,F50,IF(I40&lt;H49,G50,IF(I40&lt;I49,H50,IF(I40&lt;J49,I50,IF(I40&lt;K49,J50,IF(I40&lt;L49,K50,L50))))))</f>
        <v>9</v>
      </c>
    </row>
    <row r="54" spans="1:12" ht="13.9" customHeight="1" x14ac:dyDescent="0.25">
      <c r="A54" s="139" t="s">
        <v>68</v>
      </c>
      <c r="B54" s="144">
        <v>8</v>
      </c>
      <c r="C54" s="145">
        <v>9</v>
      </c>
    </row>
    <row r="55" spans="1:12" ht="13.9" customHeight="1" x14ac:dyDescent="0.25">
      <c r="A55" s="139" t="s">
        <v>69</v>
      </c>
      <c r="B55" s="144">
        <v>5</v>
      </c>
      <c r="C55" s="145">
        <v>8</v>
      </c>
      <c r="E55" s="134" t="s">
        <v>116</v>
      </c>
      <c r="F55" s="138" t="s">
        <v>117</v>
      </c>
      <c r="G55" s="138" t="s">
        <v>118</v>
      </c>
      <c r="H55" s="138" t="s">
        <v>126</v>
      </c>
      <c r="I55" s="138" t="s">
        <v>119</v>
      </c>
      <c r="J55" s="138" t="s">
        <v>120</v>
      </c>
      <c r="K55" s="138" t="s">
        <v>127</v>
      </c>
      <c r="L55" s="138" t="s">
        <v>121</v>
      </c>
    </row>
    <row r="56" spans="1:12" ht="13.9" customHeight="1" x14ac:dyDescent="0.25">
      <c r="A56" s="139" t="s">
        <v>70</v>
      </c>
      <c r="B56" s="144"/>
      <c r="C56" s="144"/>
      <c r="E56" s="134" t="s">
        <v>122</v>
      </c>
      <c r="F56" s="138">
        <v>12</v>
      </c>
      <c r="G56" s="138">
        <v>32</v>
      </c>
      <c r="H56" s="138">
        <v>55</v>
      </c>
      <c r="I56" s="138">
        <v>101</v>
      </c>
      <c r="J56" s="138">
        <v>201</v>
      </c>
      <c r="K56" s="138">
        <v>401</v>
      </c>
      <c r="L56" s="138">
        <v>1001</v>
      </c>
    </row>
    <row r="57" spans="1:12" ht="13.9" customHeight="1" x14ac:dyDescent="0.25">
      <c r="A57" s="139" t="s">
        <v>71</v>
      </c>
      <c r="B57" s="144">
        <v>85</v>
      </c>
      <c r="C57" s="145">
        <v>112</v>
      </c>
      <c r="E57" s="134" t="s">
        <v>123</v>
      </c>
      <c r="F57" s="138">
        <f>F53*0.8</f>
        <v>360</v>
      </c>
      <c r="G57" s="138">
        <f>F53*0.9</f>
        <v>405</v>
      </c>
      <c r="H57" s="138">
        <f>F53*1</f>
        <v>450</v>
      </c>
      <c r="I57" s="138">
        <f>F53*1.1</f>
        <v>495.00000000000006</v>
      </c>
      <c r="J57" s="138">
        <f>F53*1.5</f>
        <v>675</v>
      </c>
      <c r="K57" s="138">
        <f>F53*2</f>
        <v>900</v>
      </c>
      <c r="L57" s="138">
        <f>F53*2.5</f>
        <v>1125</v>
      </c>
    </row>
    <row r="58" spans="1:12" ht="13.9" customHeight="1" x14ac:dyDescent="0.25">
      <c r="A58" s="139" t="s">
        <v>72</v>
      </c>
      <c r="B58" s="144">
        <v>36</v>
      </c>
      <c r="C58" s="145">
        <v>45</v>
      </c>
    </row>
    <row r="59" spans="1:12" ht="13.9" customHeight="1" x14ac:dyDescent="0.25">
      <c r="A59" s="139" t="s">
        <v>73</v>
      </c>
      <c r="B59" s="144">
        <v>20</v>
      </c>
      <c r="C59" s="145">
        <v>28</v>
      </c>
    </row>
    <row r="60" spans="1:12" ht="13.9" customHeight="1" x14ac:dyDescent="0.25">
      <c r="A60" s="139" t="s">
        <v>74</v>
      </c>
      <c r="B60" s="144">
        <v>15</v>
      </c>
      <c r="C60" s="145">
        <v>16</v>
      </c>
    </row>
    <row r="61" spans="1:12" ht="13.9" customHeight="1" x14ac:dyDescent="0.25">
      <c r="A61" s="139" t="s">
        <v>75</v>
      </c>
      <c r="B61" s="144">
        <v>9</v>
      </c>
      <c r="C61" s="145">
        <v>12</v>
      </c>
    </row>
    <row r="62" spans="1:12" ht="13.9" customHeight="1" x14ac:dyDescent="0.25">
      <c r="A62" s="139" t="s">
        <v>76</v>
      </c>
      <c r="B62" s="144">
        <v>6</v>
      </c>
      <c r="C62" s="145">
        <v>8</v>
      </c>
    </row>
    <row r="63" spans="1:12" ht="13.9" customHeight="1" x14ac:dyDescent="0.25">
      <c r="A63" s="128"/>
    </row>
    <row r="64" spans="1:12" ht="13.9" customHeight="1" x14ac:dyDescent="0.25">
      <c r="A64" s="128"/>
      <c r="B64" s="144" t="s">
        <v>93</v>
      </c>
      <c r="C64" s="145" t="s">
        <v>94</v>
      </c>
    </row>
  </sheetData>
  <sheetProtection password="F3EE" sheet="1" objects="1" scenarios="1" selectLockedCells="1" selectUnlockedCells="1"/>
  <mergeCells count="1">
    <mergeCell ref="A22:J22"/>
  </mergeCells>
  <pageMargins left="0.7" right="0.7" top="0.75" bottom="0.75" header="0.3" footer="0.3"/>
  <pageSetup paperSize="9" orientation="portrait" horizontalDpi="254" r:id="rId1"/>
  <ignoredErrors>
    <ignoredError sqref="L18" twoDigitTextYear="1"/>
    <ignoredError sqref="B28:B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Наклейки</vt:lpstr>
      <vt:lpstr>Лазерная печать</vt:lpstr>
      <vt:lpstr>Лист</vt:lpstr>
      <vt:lpstr>Лист!Подвес</vt:lpstr>
      <vt:lpstr>Подвес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2025-06-08T08:58:25Z</dcterms:modified>
</cp:coreProperties>
</file>