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\tpu\Тер вер\Мат статистика\"/>
    </mc:Choice>
  </mc:AlternateContent>
  <bookViews>
    <workbookView xWindow="0" yWindow="0" windowWidth="13020" windowHeight="8496"/>
  </bookViews>
  <sheets>
    <sheet name="Толстихин_0В91" sheetId="1" r:id="rId1"/>
  </sheets>
  <calcPr calcId="162913"/>
</workbook>
</file>

<file path=xl/calcChain.xml><?xml version="1.0" encoding="utf-8"?>
<calcChain xmlns="http://schemas.openxmlformats.org/spreadsheetml/2006/main">
  <c r="B83" i="1" l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32" i="1"/>
  <c r="B75" i="1"/>
  <c r="B74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32" i="1"/>
  <c r="G61" i="1"/>
  <c r="F61" i="1"/>
  <c r="B60" i="1"/>
  <c r="B57" i="1"/>
  <c r="Z1" i="1"/>
  <c r="B66" i="1" l="1"/>
  <c r="D65" i="1" s="1"/>
  <c r="N2" i="1" l="1"/>
  <c r="L2" i="1"/>
  <c r="J2" i="1"/>
  <c r="H41" i="1" l="1"/>
  <c r="L99" i="1"/>
  <c r="L95" i="1"/>
  <c r="H40" i="1"/>
  <c r="H39" i="1"/>
  <c r="H38" i="1"/>
  <c r="H37" i="1"/>
  <c r="H36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B80" i="1" l="1"/>
  <c r="B79" i="1"/>
  <c r="B81" i="1" l="1"/>
  <c r="B77" i="1"/>
  <c r="D71" i="1"/>
  <c r="F66" i="1"/>
  <c r="G66" i="1"/>
  <c r="H66" i="1"/>
  <c r="I66" i="1"/>
  <c r="E66" i="1"/>
  <c r="B65" i="1"/>
  <c r="I62" i="1"/>
  <c r="H62" i="1"/>
  <c r="G62" i="1"/>
  <c r="F62" i="1"/>
  <c r="E62" i="1"/>
  <c r="D62" i="1"/>
  <c r="I61" i="1"/>
  <c r="I63" i="1" s="1"/>
  <c r="I64" i="1" s="1"/>
  <c r="H61" i="1"/>
  <c r="H63" i="1" s="1"/>
  <c r="H64" i="1" s="1"/>
  <c r="G63" i="1"/>
  <c r="G64" i="1" s="1"/>
  <c r="F63" i="1"/>
  <c r="F64" i="1" s="1"/>
  <c r="E61" i="1"/>
  <c r="E63" i="1" s="1"/>
  <c r="E64" i="1" s="1"/>
  <c r="D61" i="1"/>
  <c r="D63" i="1" s="1"/>
  <c r="D64" i="1" s="1"/>
  <c r="F57" i="1"/>
  <c r="D57" i="1"/>
  <c r="B76" i="1" l="1"/>
  <c r="G65" i="1" l="1"/>
  <c r="I68" i="1"/>
  <c r="I69" i="1" s="1"/>
  <c r="I70" i="1" s="1"/>
  <c r="D68" i="1"/>
  <c r="D69" i="1" s="1"/>
  <c r="D70" i="1" s="1"/>
  <c r="G68" i="1"/>
  <c r="G69" i="1" s="1"/>
  <c r="G70" i="1" s="1"/>
  <c r="E65" i="1"/>
  <c r="H65" i="1"/>
  <c r="H68" i="1"/>
  <c r="H69" i="1" s="1"/>
  <c r="H70" i="1" s="1"/>
  <c r="I65" i="1"/>
  <c r="E68" i="1"/>
  <c r="E69" i="1" s="1"/>
  <c r="E70" i="1" s="1"/>
  <c r="F68" i="1"/>
  <c r="F69" i="1" s="1"/>
  <c r="F70" i="1" s="1"/>
  <c r="F65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" i="1"/>
  <c r="D72" i="1" l="1"/>
  <c r="K20" i="1"/>
  <c r="K38" i="1"/>
  <c r="K37" i="1"/>
  <c r="K36" i="1"/>
  <c r="AA91" i="1"/>
  <c r="S91" i="1"/>
  <c r="K91" i="1"/>
  <c r="C91" i="1"/>
  <c r="AB90" i="1"/>
  <c r="T90" i="1"/>
  <c r="L90" i="1"/>
  <c r="D90" i="1"/>
  <c r="AB91" i="1"/>
  <c r="AC90" i="1"/>
  <c r="M90" i="1"/>
  <c r="K41" i="1"/>
  <c r="K39" i="1"/>
  <c r="L38" i="1"/>
  <c r="L37" i="1"/>
  <c r="AH91" i="1"/>
  <c r="Z91" i="1"/>
  <c r="R91" i="1"/>
  <c r="J91" i="1"/>
  <c r="B91" i="1"/>
  <c r="AA90" i="1"/>
  <c r="S90" i="1"/>
  <c r="K90" i="1"/>
  <c r="C90" i="1"/>
  <c r="AF91" i="1"/>
  <c r="X91" i="1"/>
  <c r="H91" i="1"/>
  <c r="AG90" i="1"/>
  <c r="Y90" i="1"/>
  <c r="I90" i="1"/>
  <c r="L36" i="1"/>
  <c r="AC91" i="1"/>
  <c r="U91" i="1"/>
  <c r="E91" i="1"/>
  <c r="AD90" i="1"/>
  <c r="N90" i="1"/>
  <c r="F90" i="1"/>
  <c r="L41" i="1"/>
  <c r="K40" i="1"/>
  <c r="L39" i="1"/>
  <c r="AG91" i="1"/>
  <c r="Y91" i="1"/>
  <c r="Q91" i="1"/>
  <c r="I91" i="1"/>
  <c r="AH90" i="1"/>
  <c r="Z90" i="1"/>
  <c r="R90" i="1"/>
  <c r="J90" i="1"/>
  <c r="B90" i="1"/>
  <c r="L40" i="1"/>
  <c r="P91" i="1"/>
  <c r="Q90" i="1"/>
  <c r="M91" i="1"/>
  <c r="V90" i="1"/>
  <c r="T91" i="1"/>
  <c r="L91" i="1"/>
  <c r="D91" i="1"/>
  <c r="U90" i="1"/>
  <c r="E90" i="1"/>
  <c r="AE91" i="1"/>
  <c r="W91" i="1"/>
  <c r="O91" i="1"/>
  <c r="G91" i="1"/>
  <c r="AF90" i="1"/>
  <c r="X90" i="1"/>
  <c r="P90" i="1"/>
  <c r="H90" i="1"/>
  <c r="AD91" i="1"/>
  <c r="V91" i="1"/>
  <c r="N91" i="1"/>
  <c r="F91" i="1"/>
  <c r="AE90" i="1"/>
  <c r="W90" i="1"/>
  <c r="O90" i="1"/>
  <c r="G90" i="1"/>
  <c r="N14" i="1"/>
  <c r="AG93" i="1"/>
  <c r="Y93" i="1"/>
  <c r="Q93" i="1"/>
  <c r="I93" i="1"/>
  <c r="AH92" i="1"/>
  <c r="Z92" i="1"/>
  <c r="R92" i="1"/>
  <c r="J92" i="1"/>
  <c r="B92" i="1"/>
  <c r="AH93" i="1"/>
  <c r="R93" i="1"/>
  <c r="B93" i="1"/>
  <c r="S92" i="1"/>
  <c r="M36" i="1"/>
  <c r="AF93" i="1"/>
  <c r="X93" i="1"/>
  <c r="P93" i="1"/>
  <c r="H93" i="1"/>
  <c r="AG92" i="1"/>
  <c r="Y92" i="1"/>
  <c r="Q92" i="1"/>
  <c r="I92" i="1"/>
  <c r="M39" i="1"/>
  <c r="AD93" i="1"/>
  <c r="V93" i="1"/>
  <c r="N93" i="1"/>
  <c r="F93" i="1"/>
  <c r="AE92" i="1"/>
  <c r="W92" i="1"/>
  <c r="O92" i="1"/>
  <c r="G92" i="1"/>
  <c r="AA93" i="1"/>
  <c r="S93" i="1"/>
  <c r="K93" i="1"/>
  <c r="AB92" i="1"/>
  <c r="T92" i="1"/>
  <c r="L92" i="1"/>
  <c r="M38" i="1"/>
  <c r="M37" i="1"/>
  <c r="N36" i="1"/>
  <c r="AE93" i="1"/>
  <c r="W93" i="1"/>
  <c r="O93" i="1"/>
  <c r="G93" i="1"/>
  <c r="AF92" i="1"/>
  <c r="X92" i="1"/>
  <c r="P92" i="1"/>
  <c r="H92" i="1"/>
  <c r="N38" i="1"/>
  <c r="N37" i="1"/>
  <c r="C93" i="1"/>
  <c r="D92" i="1"/>
  <c r="Z93" i="1"/>
  <c r="J93" i="1"/>
  <c r="AA92" i="1"/>
  <c r="K92" i="1"/>
  <c r="C92" i="1"/>
  <c r="M41" i="1"/>
  <c r="N41" i="1"/>
  <c r="M40" i="1"/>
  <c r="N39" i="1"/>
  <c r="AC93" i="1"/>
  <c r="U93" i="1"/>
  <c r="M93" i="1"/>
  <c r="E93" i="1"/>
  <c r="AD92" i="1"/>
  <c r="V92" i="1"/>
  <c r="N92" i="1"/>
  <c r="F92" i="1"/>
  <c r="M92" i="1"/>
  <c r="E92" i="1"/>
  <c r="N40" i="1"/>
  <c r="AB93" i="1"/>
  <c r="T93" i="1"/>
  <c r="L93" i="1"/>
  <c r="D93" i="1"/>
  <c r="AC92" i="1"/>
  <c r="U92" i="1"/>
  <c r="J18" i="1"/>
  <c r="J41" i="1"/>
  <c r="I40" i="1"/>
  <c r="J39" i="1"/>
  <c r="AC89" i="1"/>
  <c r="U89" i="1"/>
  <c r="M89" i="1"/>
  <c r="E89" i="1"/>
  <c r="AD88" i="1"/>
  <c r="V88" i="1"/>
  <c r="N88" i="1"/>
  <c r="F88" i="1"/>
  <c r="I41" i="1"/>
  <c r="O41" i="1" s="1"/>
  <c r="I39" i="1"/>
  <c r="J37" i="1"/>
  <c r="AD89" i="1"/>
  <c r="N89" i="1"/>
  <c r="AE88" i="1"/>
  <c r="G88" i="1"/>
  <c r="J40" i="1"/>
  <c r="AB89" i="1"/>
  <c r="T89" i="1"/>
  <c r="L89" i="1"/>
  <c r="D89" i="1"/>
  <c r="AC88" i="1"/>
  <c r="U88" i="1"/>
  <c r="M88" i="1"/>
  <c r="E88" i="1"/>
  <c r="AH89" i="1"/>
  <c r="R89" i="1"/>
  <c r="J89" i="1"/>
  <c r="AA88" i="1"/>
  <c r="K88" i="1"/>
  <c r="I36" i="1"/>
  <c r="W89" i="1"/>
  <c r="O89" i="1"/>
  <c r="AF88" i="1"/>
  <c r="P88" i="1"/>
  <c r="AA89" i="1"/>
  <c r="S89" i="1"/>
  <c r="K89" i="1"/>
  <c r="C89" i="1"/>
  <c r="AB88" i="1"/>
  <c r="T88" i="1"/>
  <c r="L88" i="1"/>
  <c r="D88" i="1"/>
  <c r="Z89" i="1"/>
  <c r="B89" i="1"/>
  <c r="S88" i="1"/>
  <c r="C88" i="1"/>
  <c r="AE89" i="1"/>
  <c r="G89" i="1"/>
  <c r="X88" i="1"/>
  <c r="H88" i="1"/>
  <c r="J38" i="1"/>
  <c r="J36" i="1"/>
  <c r="V89" i="1"/>
  <c r="F89" i="1"/>
  <c r="W88" i="1"/>
  <c r="O88" i="1"/>
  <c r="AG89" i="1"/>
  <c r="Y89" i="1"/>
  <c r="Q89" i="1"/>
  <c r="I89" i="1"/>
  <c r="AH88" i="1"/>
  <c r="Z88" i="1"/>
  <c r="R88" i="1"/>
  <c r="J88" i="1"/>
  <c r="B88" i="1"/>
  <c r="AF89" i="1"/>
  <c r="X89" i="1"/>
  <c r="P89" i="1"/>
  <c r="H89" i="1"/>
  <c r="AG88" i="1"/>
  <c r="Y88" i="1"/>
  <c r="Q88" i="1"/>
  <c r="I88" i="1"/>
  <c r="I38" i="1"/>
  <c r="I37" i="1"/>
  <c r="O37" i="1" s="1"/>
  <c r="L29" i="1"/>
  <c r="N15" i="1"/>
  <c r="I33" i="1"/>
  <c r="I16" i="1"/>
  <c r="I10" i="1"/>
  <c r="L21" i="1"/>
  <c r="J26" i="1"/>
  <c r="M30" i="1"/>
  <c r="L28" i="1"/>
  <c r="J25" i="1"/>
  <c r="M22" i="1"/>
  <c r="K27" i="1"/>
  <c r="N31" i="1"/>
  <c r="M29" i="1"/>
  <c r="K28" i="1"/>
  <c r="I34" i="1"/>
  <c r="N30" i="1"/>
  <c r="I9" i="1"/>
  <c r="L6" i="1"/>
  <c r="L14" i="1"/>
  <c r="L22" i="1"/>
  <c r="L30" i="1"/>
  <c r="K5" i="1"/>
  <c r="K13" i="1"/>
  <c r="K21" i="1"/>
  <c r="K29" i="1"/>
  <c r="L7" i="1"/>
  <c r="L15" i="1"/>
  <c r="L23" i="1"/>
  <c r="L31" i="1"/>
  <c r="K6" i="1"/>
  <c r="K14" i="1"/>
  <c r="K22" i="1"/>
  <c r="K30" i="1"/>
  <c r="L11" i="1"/>
  <c r="L19" i="1"/>
  <c r="L35" i="1"/>
  <c r="K18" i="1"/>
  <c r="K34" i="1"/>
  <c r="L8" i="1"/>
  <c r="L16" i="1"/>
  <c r="L24" i="1"/>
  <c r="L32" i="1"/>
  <c r="K7" i="1"/>
  <c r="K15" i="1"/>
  <c r="K23" i="1"/>
  <c r="K31" i="1"/>
  <c r="L9" i="1"/>
  <c r="L17" i="1"/>
  <c r="L25" i="1"/>
  <c r="L33" i="1"/>
  <c r="K8" i="1"/>
  <c r="K16" i="1"/>
  <c r="K24" i="1"/>
  <c r="K32" i="1"/>
  <c r="L10" i="1"/>
  <c r="L18" i="1"/>
  <c r="L26" i="1"/>
  <c r="L34" i="1"/>
  <c r="K9" i="1"/>
  <c r="K17" i="1"/>
  <c r="K25" i="1"/>
  <c r="K33" i="1"/>
  <c r="L27" i="1"/>
  <c r="K10" i="1"/>
  <c r="K26" i="1"/>
  <c r="I26" i="1"/>
  <c r="I8" i="1"/>
  <c r="K19" i="1"/>
  <c r="L20" i="1"/>
  <c r="M21" i="1"/>
  <c r="N22" i="1"/>
  <c r="J4" i="1"/>
  <c r="J12" i="1"/>
  <c r="J20" i="1"/>
  <c r="J28" i="1"/>
  <c r="J3" i="1"/>
  <c r="I11" i="1"/>
  <c r="I19" i="1"/>
  <c r="I27" i="1"/>
  <c r="I35" i="1"/>
  <c r="J5" i="1"/>
  <c r="J13" i="1"/>
  <c r="J21" i="1"/>
  <c r="J29" i="1"/>
  <c r="I4" i="1"/>
  <c r="O4" i="1" s="1"/>
  <c r="I12" i="1"/>
  <c r="I20" i="1"/>
  <c r="O20" i="1" s="1"/>
  <c r="I28" i="1"/>
  <c r="I3" i="1"/>
  <c r="J17" i="1"/>
  <c r="J6" i="1"/>
  <c r="J14" i="1"/>
  <c r="J22" i="1"/>
  <c r="J30" i="1"/>
  <c r="I5" i="1"/>
  <c r="O5" i="1" s="1"/>
  <c r="I13" i="1"/>
  <c r="I21" i="1"/>
  <c r="I29" i="1"/>
  <c r="J7" i="1"/>
  <c r="J15" i="1"/>
  <c r="J23" i="1"/>
  <c r="J31" i="1"/>
  <c r="I6" i="1"/>
  <c r="O6" i="1" s="1"/>
  <c r="I14" i="1"/>
  <c r="I22" i="1"/>
  <c r="I30" i="1"/>
  <c r="J8" i="1"/>
  <c r="J16" i="1"/>
  <c r="J24" i="1"/>
  <c r="J32" i="1"/>
  <c r="I7" i="1"/>
  <c r="I15" i="1"/>
  <c r="I23" i="1"/>
  <c r="I31" i="1"/>
  <c r="J9" i="1"/>
  <c r="I32" i="1"/>
  <c r="N23" i="1"/>
  <c r="I25" i="1"/>
  <c r="J11" i="1"/>
  <c r="J19" i="1"/>
  <c r="N8" i="1"/>
  <c r="N16" i="1"/>
  <c r="N24" i="1"/>
  <c r="N32" i="1"/>
  <c r="M7" i="1"/>
  <c r="M15" i="1"/>
  <c r="M23" i="1"/>
  <c r="M31" i="1"/>
  <c r="N17" i="1"/>
  <c r="N25" i="1"/>
  <c r="N33" i="1"/>
  <c r="M8" i="1"/>
  <c r="M16" i="1"/>
  <c r="M24" i="1"/>
  <c r="M32" i="1"/>
  <c r="N13" i="1"/>
  <c r="N9" i="1"/>
  <c r="N10" i="1"/>
  <c r="N18" i="1"/>
  <c r="N26" i="1"/>
  <c r="N34" i="1"/>
  <c r="M9" i="1"/>
  <c r="M17" i="1"/>
  <c r="M25" i="1"/>
  <c r="M33" i="1"/>
  <c r="N11" i="1"/>
  <c r="N19" i="1"/>
  <c r="N27" i="1"/>
  <c r="N35" i="1"/>
  <c r="M10" i="1"/>
  <c r="M18" i="1"/>
  <c r="M26" i="1"/>
  <c r="M34" i="1"/>
  <c r="N4" i="1"/>
  <c r="N12" i="1"/>
  <c r="N20" i="1"/>
  <c r="N28" i="1"/>
  <c r="N3" i="1"/>
  <c r="M11" i="1"/>
  <c r="M19" i="1"/>
  <c r="M27" i="1"/>
  <c r="M35" i="1"/>
  <c r="N5" i="1"/>
  <c r="N21" i="1"/>
  <c r="N29" i="1"/>
  <c r="M4" i="1"/>
  <c r="M12" i="1"/>
  <c r="M20" i="1"/>
  <c r="M28" i="1"/>
  <c r="M3" i="1"/>
  <c r="J35" i="1"/>
  <c r="K12" i="1"/>
  <c r="L13" i="1"/>
  <c r="M14" i="1"/>
  <c r="I24" i="1"/>
  <c r="O24" i="1" s="1"/>
  <c r="J34" i="1"/>
  <c r="J10" i="1"/>
  <c r="K11" i="1"/>
  <c r="L12" i="1"/>
  <c r="M13" i="1"/>
  <c r="I18" i="1"/>
  <c r="O18" i="1" s="1"/>
  <c r="J33" i="1"/>
  <c r="K3" i="1"/>
  <c r="K4" i="1"/>
  <c r="L5" i="1"/>
  <c r="M6" i="1"/>
  <c r="N7" i="1"/>
  <c r="I17" i="1"/>
  <c r="J27" i="1"/>
  <c r="K35" i="1"/>
  <c r="L3" i="1"/>
  <c r="L4" i="1"/>
  <c r="M5" i="1"/>
  <c r="N6" i="1"/>
  <c r="O29" i="1" l="1"/>
  <c r="O23" i="1"/>
  <c r="O22" i="1"/>
  <c r="O21" i="1"/>
  <c r="O3" i="1"/>
  <c r="O9" i="1"/>
  <c r="O32" i="1"/>
  <c r="O16" i="1"/>
  <c r="O31" i="1"/>
  <c r="O26" i="1"/>
  <c r="O36" i="1"/>
  <c r="L101" i="1" s="1"/>
  <c r="O15" i="1"/>
  <c r="O14" i="1"/>
  <c r="O13" i="1"/>
  <c r="O28" i="1"/>
  <c r="O35" i="1"/>
  <c r="O7" i="1"/>
  <c r="O27" i="1"/>
  <c r="O34" i="1"/>
  <c r="O25" i="1"/>
  <c r="O12" i="1"/>
  <c r="O19" i="1"/>
  <c r="O38" i="1"/>
  <c r="O39" i="1"/>
  <c r="O10" i="1"/>
  <c r="O17" i="1"/>
  <c r="O40" i="1"/>
  <c r="L105" i="1" s="1"/>
  <c r="O11" i="1"/>
  <c r="O8" i="1"/>
  <c r="O30" i="1"/>
  <c r="O33" i="1"/>
  <c r="L102" i="1"/>
  <c r="L103" i="1"/>
  <c r="L104" i="1"/>
  <c r="B94" i="1" a="1"/>
  <c r="B94" i="1" l="1"/>
  <c r="B99" i="1"/>
  <c r="F98" i="1"/>
  <c r="C100" i="1"/>
  <c r="I101" i="1"/>
  <c r="H94" i="1"/>
  <c r="D97" i="1"/>
  <c r="D96" i="1"/>
  <c r="B97" i="1"/>
  <c r="I97" i="1"/>
  <c r="G98" i="1"/>
  <c r="F95" i="1"/>
  <c r="G97" i="1"/>
  <c r="D99" i="1"/>
  <c r="J100" i="1"/>
  <c r="G94" i="1"/>
  <c r="E96" i="1"/>
  <c r="E95" i="1"/>
  <c r="C96" i="1"/>
  <c r="J96" i="1"/>
  <c r="H97" i="1"/>
  <c r="B98" i="1"/>
  <c r="H96" i="1"/>
  <c r="E98" i="1"/>
  <c r="B100" i="1"/>
  <c r="F94" i="1"/>
  <c r="F102" i="1"/>
  <c r="E102" i="1"/>
  <c r="D95" i="1"/>
  <c r="B96" i="1"/>
  <c r="I96" i="1"/>
  <c r="D100" i="1"/>
  <c r="I94" i="1"/>
  <c r="J99" i="1"/>
  <c r="I98" i="1"/>
  <c r="E100" i="1"/>
  <c r="E99" i="1"/>
  <c r="G95" i="1"/>
  <c r="C97" i="1"/>
  <c r="H98" i="1"/>
  <c r="J102" i="1"/>
  <c r="I95" i="1"/>
  <c r="F97" i="1"/>
  <c r="C99" i="1"/>
  <c r="E94" i="1"/>
  <c r="G101" i="1"/>
  <c r="F101" i="1"/>
  <c r="D102" i="1"/>
  <c r="C95" i="1"/>
  <c r="J95" i="1"/>
  <c r="B102" i="1"/>
  <c r="J94" i="1"/>
  <c r="G96" i="1"/>
  <c r="D98" i="1"/>
  <c r="D94" i="1"/>
  <c r="H100" i="1"/>
  <c r="G100" i="1"/>
  <c r="E101" i="1"/>
  <c r="C102" i="1"/>
  <c r="B95" i="1"/>
  <c r="C101" i="1"/>
  <c r="I102" i="1"/>
  <c r="H95" i="1"/>
  <c r="E97" i="1"/>
  <c r="H101" i="1"/>
  <c r="I99" i="1"/>
  <c r="H99" i="1"/>
  <c r="F100" i="1"/>
  <c r="D101" i="1"/>
  <c r="C94" i="1"/>
  <c r="G102" i="1"/>
  <c r="J101" i="1"/>
  <c r="F96" i="1"/>
  <c r="J98" i="1"/>
  <c r="G99" i="1"/>
  <c r="I100" i="1"/>
  <c r="B101" i="1"/>
  <c r="H102" i="1"/>
  <c r="C98" i="1"/>
  <c r="J97" i="1"/>
  <c r="F99" i="1"/>
  <c r="B103" i="1" l="1" a="1"/>
  <c r="D103" i="1" l="1"/>
  <c r="J109" i="1"/>
  <c r="C111" i="1"/>
  <c r="D109" i="1"/>
  <c r="B110" i="1"/>
  <c r="I109" i="1"/>
  <c r="F111" i="1"/>
  <c r="E104" i="1"/>
  <c r="B106" i="1"/>
  <c r="B111" i="1"/>
  <c r="G108" i="1"/>
  <c r="B109" i="1"/>
  <c r="E109" i="1"/>
  <c r="F107" i="1"/>
  <c r="C109" i="1"/>
  <c r="J108" i="1"/>
  <c r="G110" i="1"/>
  <c r="F103" i="1"/>
  <c r="C105" i="1"/>
  <c r="E108" i="1"/>
  <c r="H107" i="1"/>
  <c r="C108" i="1"/>
  <c r="F108" i="1"/>
  <c r="G106" i="1"/>
  <c r="D108" i="1"/>
  <c r="B108" i="1"/>
  <c r="H109" i="1"/>
  <c r="E111" i="1"/>
  <c r="D104" i="1"/>
  <c r="B103" i="1"/>
  <c r="I106" i="1"/>
  <c r="B104" i="1"/>
  <c r="C106" i="1"/>
  <c r="E110" i="1"/>
  <c r="H103" i="1"/>
  <c r="J110" i="1"/>
  <c r="G111" i="1"/>
  <c r="D107" i="1"/>
  <c r="H106" i="1"/>
  <c r="H105" i="1"/>
  <c r="E107" i="1"/>
  <c r="C107" i="1"/>
  <c r="I108" i="1"/>
  <c r="F110" i="1"/>
  <c r="E103" i="1"/>
  <c r="H104" i="1"/>
  <c r="J105" i="1"/>
  <c r="E106" i="1"/>
  <c r="I105" i="1"/>
  <c r="I104" i="1"/>
  <c r="F106" i="1"/>
  <c r="D106" i="1"/>
  <c r="J107" i="1"/>
  <c r="G109" i="1"/>
  <c r="D110" i="1"/>
  <c r="H110" i="1"/>
  <c r="B105" i="1"/>
  <c r="F105" i="1"/>
  <c r="J104" i="1"/>
  <c r="J103" i="1"/>
  <c r="G105" i="1"/>
  <c r="E105" i="1"/>
  <c r="B107" i="1"/>
  <c r="H108" i="1"/>
  <c r="G107" i="1"/>
  <c r="D111" i="1"/>
  <c r="C104" i="1"/>
  <c r="H111" i="1"/>
  <c r="G104" i="1"/>
  <c r="I111" i="1"/>
  <c r="I103" i="1"/>
  <c r="F104" i="1"/>
  <c r="I107" i="1"/>
  <c r="C103" i="1"/>
  <c r="I110" i="1"/>
  <c r="C110" i="1"/>
  <c r="G103" i="1"/>
  <c r="D105" i="1"/>
  <c r="J106" i="1"/>
  <c r="J111" i="1"/>
  <c r="F109" i="1"/>
  <c r="B112" i="1" l="1" a="1"/>
  <c r="H114" i="1" s="1"/>
  <c r="E116" i="1" l="1"/>
  <c r="F115" i="1"/>
  <c r="J114" i="1"/>
  <c r="J112" i="1"/>
  <c r="D117" i="1"/>
  <c r="I116" i="1"/>
  <c r="D112" i="1"/>
  <c r="I112" i="1"/>
  <c r="C113" i="1"/>
  <c r="E113" i="1"/>
  <c r="I115" i="1"/>
  <c r="J116" i="1"/>
  <c r="E115" i="1"/>
  <c r="C114" i="1"/>
  <c r="H117" i="1"/>
  <c r="G116" i="1"/>
  <c r="H113" i="1"/>
  <c r="I113" i="1"/>
  <c r="G117" i="1"/>
  <c r="J113" i="1"/>
  <c r="C112" i="1"/>
  <c r="J117" i="1"/>
  <c r="F113" i="1"/>
  <c r="F117" i="1"/>
  <c r="H116" i="1"/>
  <c r="I117" i="1"/>
  <c r="F112" i="1"/>
  <c r="F116" i="1"/>
  <c r="D115" i="1"/>
  <c r="B113" i="1"/>
  <c r="C117" i="1"/>
  <c r="I114" i="1"/>
  <c r="D114" i="1"/>
  <c r="J115" i="1"/>
  <c r="C116" i="1"/>
  <c r="G113" i="1"/>
  <c r="C115" i="1"/>
  <c r="B115" i="1"/>
  <c r="E117" i="1"/>
  <c r="E114" i="1"/>
  <c r="B116" i="1"/>
  <c r="H115" i="1"/>
  <c r="F114" i="1"/>
  <c r="D113" i="1"/>
  <c r="H112" i="1"/>
  <c r="E112" i="1"/>
  <c r="B112" i="1"/>
  <c r="B114" i="1"/>
  <c r="G114" i="1"/>
  <c r="D116" i="1"/>
  <c r="B117" i="1"/>
  <c r="G115" i="1"/>
  <c r="G112" i="1"/>
  <c r="L112" i="1" l="1"/>
  <c r="M112" i="1" s="1"/>
  <c r="L116" i="1"/>
  <c r="M116" i="1" s="1"/>
  <c r="L114" i="1"/>
  <c r="M114" i="1" s="1"/>
  <c r="L117" i="1"/>
  <c r="N117" i="1" s="1"/>
  <c r="L113" i="1"/>
  <c r="N113" i="1" s="1"/>
  <c r="N102" i="1" s="1"/>
  <c r="L115" i="1"/>
  <c r="N115" i="1" s="1"/>
  <c r="N112" i="1" l="1"/>
  <c r="N101" i="1" s="1"/>
  <c r="N116" i="1"/>
  <c r="N105" i="1" s="1"/>
  <c r="M115" i="1"/>
  <c r="M117" i="1"/>
  <c r="N114" i="1"/>
  <c r="N103" i="1" s="1"/>
  <c r="M102" i="1"/>
  <c r="M113" i="1"/>
  <c r="N104" i="1"/>
  <c r="M104" i="1"/>
  <c r="M101" i="1" l="1"/>
  <c r="M105" i="1"/>
  <c r="M103" i="1"/>
</calcChain>
</file>

<file path=xl/sharedStrings.xml><?xml version="1.0" encoding="utf-8"?>
<sst xmlns="http://schemas.openxmlformats.org/spreadsheetml/2006/main" count="199" uniqueCount="99">
  <si>
    <t>&lt;TICKER&gt;</t>
  </si>
  <si>
    <t>&lt;PER&gt;</t>
  </si>
  <si>
    <t>&lt;DATE&gt;</t>
  </si>
  <si>
    <t>&lt;TIME&gt;</t>
  </si>
  <si>
    <t>&lt;CLOSE&gt;</t>
  </si>
  <si>
    <t>CNY000000TOD</t>
  </si>
  <si>
    <t>D</t>
  </si>
  <si>
    <t>t</t>
  </si>
  <si>
    <t>t^2</t>
  </si>
  <si>
    <t>wk</t>
  </si>
  <si>
    <t>k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</si>
  <si>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</si>
  <si>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</si>
  <si>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</si>
  <si>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</si>
  <si>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</si>
  <si>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</si>
  <si>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</si>
  <si>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</si>
  <si>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</si>
  <si>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</si>
  <si>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</si>
  <si>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</si>
  <si>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</si>
  <si>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</si>
  <si>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</si>
  <si>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</si>
  <si>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</si>
  <si>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</si>
  <si>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</si>
  <si>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</si>
  <si>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</si>
  <si>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</si>
  <si>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</si>
  <si>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</si>
  <si>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</si>
  <si>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</si>
  <si>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</si>
  <si>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</si>
  <si>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</si>
  <si>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Переменная X 2</t>
  </si>
  <si>
    <t>Переменная X 3</t>
  </si>
  <si>
    <t>Переменная X 4</t>
  </si>
  <si>
    <t>Переменная X 5</t>
  </si>
  <si>
    <t>Переменная X 6</t>
  </si>
  <si>
    <t>Переменная X 7</t>
  </si>
  <si>
    <t>Переменная X 8</t>
  </si>
  <si>
    <t>Fкрит</t>
  </si>
  <si>
    <t>Количество</t>
  </si>
  <si>
    <t>Исследование остатков модели</t>
  </si>
  <si>
    <t>min</t>
  </si>
  <si>
    <t xml:space="preserve">max </t>
  </si>
  <si>
    <t>n</t>
  </si>
  <si>
    <t>низ</t>
  </si>
  <si>
    <t>верх</t>
  </si>
  <si>
    <t>∆x</t>
  </si>
  <si>
    <t>Интервал</t>
  </si>
  <si>
    <t>(-0.043, -0.018)</t>
  </si>
  <si>
    <t>(0.02, 0.0333)</t>
  </si>
  <si>
    <t>(0.0333, 0.071)</t>
  </si>
  <si>
    <t>Середина</t>
  </si>
  <si>
    <t xml:space="preserve">𝜔_𝑖    </t>
  </si>
  <si>
    <t>p_i</t>
  </si>
  <si>
    <t>a*</t>
  </si>
  <si>
    <t>sigma*</t>
  </si>
  <si>
    <t>Теор. Плотность</t>
  </si>
  <si>
    <t>Начало</t>
  </si>
  <si>
    <t>Конец</t>
  </si>
  <si>
    <t>Вер. P*_i</t>
  </si>
  <si>
    <t>Ожид вероятность</t>
  </si>
  <si>
    <t>Нормирование квадратов отклонений</t>
  </si>
  <si>
    <t>Pкр</t>
  </si>
  <si>
    <t>Pнаблюд.</t>
  </si>
  <si>
    <t>Z(x)</t>
  </si>
  <si>
    <t>D(R(X))</t>
  </si>
  <si>
    <t>M(R(X))</t>
  </si>
  <si>
    <t>p(x)</t>
  </si>
  <si>
    <t>тау</t>
  </si>
  <si>
    <t>n1</t>
  </si>
  <si>
    <t>n2</t>
  </si>
  <si>
    <t>Квадраты остатков</t>
  </si>
  <si>
    <t>n2/n1</t>
  </si>
  <si>
    <t>XT</t>
  </si>
  <si>
    <t>XT*X</t>
  </si>
  <si>
    <t>XT*X*(-1)</t>
  </si>
  <si>
    <t>s</t>
  </si>
  <si>
    <t>k+1</t>
  </si>
  <si>
    <t>n-k-1</t>
  </si>
  <si>
    <t>y</t>
  </si>
  <si>
    <t>y*</t>
  </si>
  <si>
    <t>X0T*(XT*X)-1</t>
  </si>
  <si>
    <t>Delta1</t>
  </si>
  <si>
    <t>Delta2</t>
  </si>
  <si>
    <t>y*-</t>
  </si>
  <si>
    <t>y*+</t>
  </si>
  <si>
    <t>В</t>
  </si>
  <si>
    <t>(-0.018, 0.002)</t>
  </si>
  <si>
    <t>(-0.075, -0.043)</t>
  </si>
  <si>
    <t>(0.002, 0.02)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</si>
</sst>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164" fontId="0" fillId="0" borderId="0" xfId="0" applyNumberFormat="1" applyBorder="1"/>
    <xf numFmtId="20" fontId="0" fillId="0" borderId="0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16" xfId="0" applyNumberFormat="1" applyBorder="1"/>
    <xf numFmtId="20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 applyAlignment="1"/>
    <xf numFmtId="0" fontId="0" fillId="0" borderId="16" xfId="0" applyFill="1" applyBorder="1" applyAlignment="1"/>
    <xf numFmtId="0" fontId="18" fillId="0" borderId="19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18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0" fillId="0" borderId="13" xfId="0" applyFill="1" applyBorder="1"/>
    <xf numFmtId="0" fontId="0" fillId="0" borderId="23" xfId="0" applyBorder="1"/>
    <xf numFmtId="0" fontId="0" fillId="0" borderId="15" xfId="0" applyFill="1" applyBorder="1"/>
    <xf numFmtId="0" fontId="19" fillId="0" borderId="0" xfId="0" applyFont="1" applyFill="1" applyBorder="1"/>
    <xf numFmtId="0" fontId="19" fillId="0" borderId="0" xfId="0" applyFont="1"/>
    <xf numFmtId="0" fontId="0" fillId="0" borderId="10" xfId="0" applyFill="1" applyBorder="1"/>
    <xf numFmtId="16" fontId="0" fillId="0" borderId="0" xfId="0" applyNumberFormat="1"/>
    <xf numFmtId="0" fontId="0" fillId="0" borderId="24" xfId="0" applyBorder="1"/>
    <xf numFmtId="0" fontId="0" fillId="36" borderId="18" xfId="0" applyFill="1" applyBorder="1"/>
    <xf numFmtId="0" fontId="0" fillId="34" borderId="18" xfId="0" applyFill="1" applyBorder="1"/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0" fillId="35" borderId="0" xfId="0" applyFill="1" applyAlignment="1">
      <alignment horizontal="center"/>
    </xf>
    <xf numFmtId="0" fontId="19" fillId="35" borderId="0" xfId="0" applyFont="1" applyFill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7362572980575195E-2"/>
          <c:y val="0.17831015260592967"/>
          <c:w val="0.71128775176309411"/>
          <c:h val="0.71016418935339509"/>
        </c:manualLayout>
      </c:layout>
      <c:lineChart>
        <c:grouping val="standard"/>
        <c:varyColors val="0"/>
        <c:ser>
          <c:idx val="0"/>
          <c:order val="0"/>
          <c:tx>
            <c:v>Котировки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Толстихин_0В91!$E$3:$E$35</c:f>
              <c:numCache>
                <c:formatCode>General</c:formatCode>
                <c:ptCount val="33"/>
                <c:pt idx="0">
                  <c:v>11.484999999999999</c:v>
                </c:pt>
                <c:pt idx="1">
                  <c:v>11.496</c:v>
                </c:pt>
                <c:pt idx="2">
                  <c:v>11.417999999999999</c:v>
                </c:pt>
                <c:pt idx="3">
                  <c:v>11.37</c:v>
                </c:pt>
                <c:pt idx="4">
                  <c:v>11.35</c:v>
                </c:pt>
                <c:pt idx="5">
                  <c:v>11.4</c:v>
                </c:pt>
                <c:pt idx="6">
                  <c:v>11.36</c:v>
                </c:pt>
                <c:pt idx="7">
                  <c:v>11.34</c:v>
                </c:pt>
                <c:pt idx="8">
                  <c:v>11.36</c:v>
                </c:pt>
                <c:pt idx="9">
                  <c:v>11.47</c:v>
                </c:pt>
                <c:pt idx="10">
                  <c:v>11.593999999999999</c:v>
                </c:pt>
                <c:pt idx="11">
                  <c:v>11.664899999999999</c:v>
                </c:pt>
                <c:pt idx="12">
                  <c:v>11.63</c:v>
                </c:pt>
                <c:pt idx="13">
                  <c:v>11.79</c:v>
                </c:pt>
                <c:pt idx="14">
                  <c:v>11.789</c:v>
                </c:pt>
                <c:pt idx="15">
                  <c:v>11.6662</c:v>
                </c:pt>
                <c:pt idx="16">
                  <c:v>11.739599999999999</c:v>
                </c:pt>
                <c:pt idx="17">
                  <c:v>11.795</c:v>
                </c:pt>
                <c:pt idx="18">
                  <c:v>11.68</c:v>
                </c:pt>
                <c:pt idx="19">
                  <c:v>11.595000000000001</c:v>
                </c:pt>
                <c:pt idx="20">
                  <c:v>11.5335</c:v>
                </c:pt>
                <c:pt idx="21">
                  <c:v>11.54</c:v>
                </c:pt>
                <c:pt idx="22">
                  <c:v>11.5082</c:v>
                </c:pt>
                <c:pt idx="23">
                  <c:v>11.42</c:v>
                </c:pt>
                <c:pt idx="24">
                  <c:v>11.473100000000001</c:v>
                </c:pt>
                <c:pt idx="25">
                  <c:v>11.427</c:v>
                </c:pt>
                <c:pt idx="26">
                  <c:v>11.4198</c:v>
                </c:pt>
                <c:pt idx="27">
                  <c:v>11.493</c:v>
                </c:pt>
                <c:pt idx="28">
                  <c:v>11.4595</c:v>
                </c:pt>
                <c:pt idx="29">
                  <c:v>11.506</c:v>
                </c:pt>
                <c:pt idx="30">
                  <c:v>11.3842</c:v>
                </c:pt>
                <c:pt idx="31">
                  <c:v>11.4087</c:v>
                </c:pt>
                <c:pt idx="32">
                  <c:v>11.473000000000001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3-4D8B-8C2E-576937020086}"/>
            </c:ext>
          </c:extLst>
        </c:ser>
        <c:ser>
          <c:idx val="1"/>
          <c:order val="1"/>
          <c:tx>
            <c:v>Модель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Толстихин_0В91!$O$3:$O$35</c:f>
              <c:numCache>
                <c:formatCode>General</c:formatCode>
                <c:ptCount val="33"/>
                <c:pt idx="0">
                  <c:v>11.45048729591876</c:v>
                </c:pt>
                <c:pt idx="1">
                  <c:v>11.428119955479078</c:v>
                </c:pt>
                <c:pt idx="2">
                  <c:v>11.426254126234221</c:v>
                </c:pt>
                <c:pt idx="3">
                  <c:v>11.394254577776197</c:v>
                </c:pt>
                <c:pt idx="4">
                  <c:v>11.354013056439832</c:v>
                </c:pt>
                <c:pt idx="5">
                  <c:v>11.385875462184938</c:v>
                </c:pt>
                <c:pt idx="6">
                  <c:v>11.434654451277066</c:v>
                </c:pt>
                <c:pt idx="7">
                  <c:v>11.406564817634219</c:v>
                </c:pt>
                <c:pt idx="8">
                  <c:v>11.381957718699688</c:v>
                </c:pt>
                <c:pt idx="9">
                  <c:v>11.466929096791292</c:v>
                </c:pt>
                <c:pt idx="10">
                  <c:v>11.582993815119716</c:v>
                </c:pt>
                <c:pt idx="11">
                  <c:v>11.632970540138327</c:v>
                </c:pt>
                <c:pt idx="12">
                  <c:v>11.669416072605012</c:v>
                </c:pt>
                <c:pt idx="13">
                  <c:v>11.729080112761521</c:v>
                </c:pt>
                <c:pt idx="14">
                  <c:v>11.74843836499327</c:v>
                </c:pt>
                <c:pt idx="15">
                  <c:v>11.737950803043139</c:v>
                </c:pt>
                <c:pt idx="16">
                  <c:v>11.769626609893711</c:v>
                </c:pt>
                <c:pt idx="17">
                  <c:v>11.784231132985912</c:v>
                </c:pt>
                <c:pt idx="18">
                  <c:v>11.688801099759417</c:v>
                </c:pt>
                <c:pt idx="19">
                  <c:v>11.569261089931254</c:v>
                </c:pt>
                <c:pt idx="20">
                  <c:v>11.54123348532984</c:v>
                </c:pt>
                <c:pt idx="21">
                  <c:v>11.53834780880698</c:v>
                </c:pt>
                <c:pt idx="22">
                  <c:v>11.476390010365899</c:v>
                </c:pt>
                <c:pt idx="23">
                  <c:v>11.419879051575402</c:v>
                </c:pt>
                <c:pt idx="24">
                  <c:v>11.414807922140248</c:v>
                </c:pt>
                <c:pt idx="25">
                  <c:v>11.402852512701024</c:v>
                </c:pt>
                <c:pt idx="26">
                  <c:v>11.394884879867622</c:v>
                </c:pt>
                <c:pt idx="27">
                  <c:v>11.458479149406418</c:v>
                </c:pt>
                <c:pt idx="28">
                  <c:v>11.525753856090082</c:v>
                </c:pt>
                <c:pt idx="29">
                  <c:v>11.492125937366486</c:v>
                </c:pt>
                <c:pt idx="30">
                  <c:v>11.430591904787384</c:v>
                </c:pt>
                <c:pt idx="31">
                  <c:v>11.444389922331998</c:v>
                </c:pt>
                <c:pt idx="32">
                  <c:v>11.457083359564075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3-4D8B-8C2E-576937020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012544"/>
        <c:axId val="246023360"/>
      </c:lineChart>
      <c:catAx>
        <c:axId val="246012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023360"/>
        <c:crosses val="autoZero"/>
        <c:auto val="1"/>
        <c:lblAlgn val="ctr"/>
        <c:lblOffset val="100"/>
        <c:noMultiLvlLbl val="0"/>
      </c:catAx>
      <c:valAx>
        <c:axId val="24602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01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Реальные 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Толстихин_0В91!$G$36:$G$41</c:f>
              <c:numCache>
                <c:formatCode>General</c:formatCode>
                <c:ptCount val="6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38</c:v>
                </c:pt>
                <c:pt idx="5">
                  <c:v>39</c:v>
                </c:pt>
              </c:numCache>
            </c:numRef>
          </c:xVal>
          <c:yVal>
            <c:numRef>
              <c:f>Толстихин_0В91!$E$36:$E$41</c:f>
              <c:numCache>
                <c:formatCode>General</c:formatCode>
                <c:ptCount val="6"/>
                <c:pt idx="0">
                  <c:v>11.3789</c:v>
                </c:pt>
                <c:pt idx="1">
                  <c:v>11.3545</c:v>
                </c:pt>
                <c:pt idx="2">
                  <c:v>11.3165</c:v>
                </c:pt>
                <c:pt idx="3">
                  <c:v>11.307399999999999</c:v>
                </c:pt>
                <c:pt idx="4">
                  <c:v>11.2334</c:v>
                </c:pt>
                <c:pt idx="5">
                  <c:v>11.226800000000001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01-4A8D-8538-13DF4D5C7571}"/>
            </c:ext>
          </c:extLst>
        </c:ser>
        <c:ser>
          <c:idx val="1"/>
          <c:order val="1"/>
          <c:tx>
            <c:v>Спрогнозированные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Толстихин_0В91!$G$36:$G$41</c:f>
              <c:numCache>
                <c:formatCode>General</c:formatCode>
                <c:ptCount val="6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38</c:v>
                </c:pt>
                <c:pt idx="5">
                  <c:v>39</c:v>
                </c:pt>
              </c:numCache>
            </c:numRef>
          </c:xVal>
          <c:yVal>
            <c:numRef>
              <c:f>Толстихин_0В91!$O$36:$O$41</c:f>
              <c:numCache>
                <c:formatCode>General</c:formatCode>
                <c:ptCount val="6"/>
                <c:pt idx="0">
                  <c:v>11.378152196493115</c:v>
                </c:pt>
                <c:pt idx="1">
                  <c:v>11.2704730273185</c:v>
                </c:pt>
                <c:pt idx="2">
                  <c:v>11.183295369338715</c:v>
                </c:pt>
                <c:pt idx="3">
                  <c:v>11.065983992145757</c:v>
                </c:pt>
                <c:pt idx="4">
                  <c:v>10.940430642074464</c:v>
                </c:pt>
                <c:pt idx="5">
                  <c:v>10.886981219084642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01-4A8D-8538-13DF4D5C7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924048"/>
        <c:axId val="1100917808"/>
      </c:scatterChart>
      <c:valAx>
        <c:axId val="110092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0917808"/>
        <c:crosses val="autoZero"/>
        <c:crossBetween val="midCat"/>
      </c:valAx>
      <c:valAx>
        <c:axId val="110091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0924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Реальные данные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Толстихин_0В91!$G$36:$G$41</c:f>
              <c:numCache>
                <c:formatCode>General</c:formatCode>
                <c:ptCount val="6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38</c:v>
                </c:pt>
                <c:pt idx="5">
                  <c:v>39</c:v>
                </c:pt>
              </c:numCache>
            </c:numRef>
          </c:xVal>
          <c:yVal>
            <c:numRef>
              <c:f>Толстихин_0В91!$E$36:$E$41</c:f>
              <c:numCache>
                <c:formatCode>General</c:formatCode>
                <c:ptCount val="6"/>
                <c:pt idx="0">
                  <c:v>11.3789</c:v>
                </c:pt>
                <c:pt idx="1">
                  <c:v>11.3545</c:v>
                </c:pt>
                <c:pt idx="2">
                  <c:v>11.3165</c:v>
                </c:pt>
                <c:pt idx="3">
                  <c:v>11.307399999999999</c:v>
                </c:pt>
                <c:pt idx="4">
                  <c:v>11.2334</c:v>
                </c:pt>
                <c:pt idx="5">
                  <c:v>11.226800000000001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BD-4DD0-8C42-719B233DCAD1}"/>
            </c:ext>
          </c:extLst>
        </c:ser>
        <c:ser>
          <c:idx val="1"/>
          <c:order val="1"/>
          <c:tx>
            <c:v>Спрогнозированные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Толстихин_0В91!$N$112:$N$117</c:f>
                <c:numCache>
                  <c:formatCode>General</c:formatCode>
                  <c:ptCount val="6"/>
                  <c:pt idx="0">
                    <c:v>0.11224430917000998</c:v>
                  </c:pt>
                  <c:pt idx="1">
                    <c:v>0.11736234758478672</c:v>
                  </c:pt>
                  <c:pt idx="2">
                    <c:v>0.12055306639055233</c:v>
                  </c:pt>
                  <c:pt idx="3">
                    <c:v>0.12530971515536596</c:v>
                  </c:pt>
                  <c:pt idx="4">
                    <c:v>0.13205507754959644</c:v>
                  </c:pt>
                  <c:pt idx="5">
                    <c:v>0.1385240675656268</c:v>
                  </c:pt>
                </c:numCache>
              </c:numRef>
            </c:plus>
            <c:minus>
              <c:numRef>
                <c:f>Толстихин_0В91!$N$112:$N$117</c:f>
                <c:numCache>
                  <c:formatCode>General</c:formatCode>
                  <c:ptCount val="6"/>
                  <c:pt idx="0">
                    <c:v>0.11224430917000998</c:v>
                  </c:pt>
                  <c:pt idx="1">
                    <c:v>0.11736234758478672</c:v>
                  </c:pt>
                  <c:pt idx="2">
                    <c:v>0.12055306639055233</c:v>
                  </c:pt>
                  <c:pt idx="3">
                    <c:v>0.12530971515536596</c:v>
                  </c:pt>
                  <c:pt idx="4">
                    <c:v>0.13205507754959644</c:v>
                  </c:pt>
                  <c:pt idx="5">
                    <c:v>0.1385240675656268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Толстихин_0В91!$G$36:$G$41</c:f>
              <c:numCache>
                <c:formatCode>General</c:formatCode>
                <c:ptCount val="6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38</c:v>
                </c:pt>
                <c:pt idx="5">
                  <c:v>39</c:v>
                </c:pt>
              </c:numCache>
            </c:numRef>
          </c:xVal>
          <c:yVal>
            <c:numRef>
              <c:f>Толстихин_0В91!$O$36:$O$41</c:f>
              <c:numCache>
                <c:formatCode>General</c:formatCode>
                <c:ptCount val="6"/>
                <c:pt idx="0">
                  <c:v>11.378152196493115</c:v>
                </c:pt>
                <c:pt idx="1">
                  <c:v>11.2704730273185</c:v>
                </c:pt>
                <c:pt idx="2">
                  <c:v>11.183295369338715</c:v>
                </c:pt>
                <c:pt idx="3">
                  <c:v>11.065983992145757</c:v>
                </c:pt>
                <c:pt idx="4">
                  <c:v>10.940430642074464</c:v>
                </c:pt>
                <c:pt idx="5">
                  <c:v>10.886981219084642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BD-4DD0-8C42-719B233DC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924048"/>
        <c:axId val="1100917808"/>
      </c:scatterChart>
      <c:valAx>
        <c:axId val="1100924048"/>
        <c:scaling>
          <c:orientation val="minMax"/>
          <c:max val="40"/>
          <c:min val="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0917808"/>
        <c:crosses val="autoZero"/>
        <c:crossBetween val="midCat"/>
      </c:valAx>
      <c:valAx>
        <c:axId val="110091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0924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реальных и смоделированных данных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7362572980575195E-2"/>
          <c:y val="0.17831015260592967"/>
          <c:w val="0.71128775176309411"/>
          <c:h val="0.71016418935339509"/>
        </c:manualLayout>
      </c:layout>
      <c:lineChart>
        <c:grouping val="standard"/>
        <c:varyColors val="0"/>
        <c:ser>
          <c:idx val="0"/>
          <c:order val="0"/>
          <c:tx>
            <c:v>Котировки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Толстихин_0В91!$E$3:$E$41</c:f>
              <c:numCache>
                <c:formatCode>General</c:formatCode>
                <c:ptCount val="39"/>
                <c:pt idx="0">
                  <c:v>11.484999999999999</c:v>
                </c:pt>
                <c:pt idx="1">
                  <c:v>11.496</c:v>
                </c:pt>
                <c:pt idx="2">
                  <c:v>11.417999999999999</c:v>
                </c:pt>
                <c:pt idx="3">
                  <c:v>11.37</c:v>
                </c:pt>
                <c:pt idx="4">
                  <c:v>11.35</c:v>
                </c:pt>
                <c:pt idx="5">
                  <c:v>11.4</c:v>
                </c:pt>
                <c:pt idx="6">
                  <c:v>11.36</c:v>
                </c:pt>
                <c:pt idx="7">
                  <c:v>11.34</c:v>
                </c:pt>
                <c:pt idx="8">
                  <c:v>11.36</c:v>
                </c:pt>
                <c:pt idx="9">
                  <c:v>11.47</c:v>
                </c:pt>
                <c:pt idx="10">
                  <c:v>11.593999999999999</c:v>
                </c:pt>
                <c:pt idx="11">
                  <c:v>11.664899999999999</c:v>
                </c:pt>
                <c:pt idx="12">
                  <c:v>11.63</c:v>
                </c:pt>
                <c:pt idx="13">
                  <c:v>11.79</c:v>
                </c:pt>
                <c:pt idx="14">
                  <c:v>11.789</c:v>
                </c:pt>
                <c:pt idx="15">
                  <c:v>11.6662</c:v>
                </c:pt>
                <c:pt idx="16">
                  <c:v>11.739599999999999</c:v>
                </c:pt>
                <c:pt idx="17">
                  <c:v>11.795</c:v>
                </c:pt>
                <c:pt idx="18">
                  <c:v>11.68</c:v>
                </c:pt>
                <c:pt idx="19">
                  <c:v>11.595000000000001</c:v>
                </c:pt>
                <c:pt idx="20">
                  <c:v>11.5335</c:v>
                </c:pt>
                <c:pt idx="21">
                  <c:v>11.54</c:v>
                </c:pt>
                <c:pt idx="22">
                  <c:v>11.5082</c:v>
                </c:pt>
                <c:pt idx="23">
                  <c:v>11.42</c:v>
                </c:pt>
                <c:pt idx="24">
                  <c:v>11.473100000000001</c:v>
                </c:pt>
                <c:pt idx="25">
                  <c:v>11.427</c:v>
                </c:pt>
                <c:pt idx="26">
                  <c:v>11.4198</c:v>
                </c:pt>
                <c:pt idx="27">
                  <c:v>11.493</c:v>
                </c:pt>
                <c:pt idx="28">
                  <c:v>11.4595</c:v>
                </c:pt>
                <c:pt idx="29">
                  <c:v>11.506</c:v>
                </c:pt>
                <c:pt idx="30">
                  <c:v>11.3842</c:v>
                </c:pt>
                <c:pt idx="31">
                  <c:v>11.4087</c:v>
                </c:pt>
                <c:pt idx="32">
                  <c:v>11.473000000000001</c:v>
                </c:pt>
                <c:pt idx="33">
                  <c:v>11.3789</c:v>
                </c:pt>
                <c:pt idx="34">
                  <c:v>11.3545</c:v>
                </c:pt>
                <c:pt idx="35">
                  <c:v>11.3165</c:v>
                </c:pt>
                <c:pt idx="36">
                  <c:v>11.307399999999999</c:v>
                </c:pt>
                <c:pt idx="37">
                  <c:v>11.2334</c:v>
                </c:pt>
                <c:pt idx="38">
                  <c:v>11.226800000000001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48-48A6-8996-56B021BBC129}"/>
            </c:ext>
          </c:extLst>
        </c:ser>
        <c:ser>
          <c:idx val="1"/>
          <c:order val="1"/>
          <c:tx>
            <c:v>Модель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Толстихин_0В91!$O$3:$O$41</c:f>
              <c:numCache>
                <c:formatCode>General</c:formatCode>
                <c:ptCount val="39"/>
                <c:pt idx="0">
                  <c:v>11.45048729591876</c:v>
                </c:pt>
                <c:pt idx="1">
                  <c:v>11.428119955479078</c:v>
                </c:pt>
                <c:pt idx="2">
                  <c:v>11.426254126234221</c:v>
                </c:pt>
                <c:pt idx="3">
                  <c:v>11.394254577776197</c:v>
                </c:pt>
                <c:pt idx="4">
                  <c:v>11.354013056439832</c:v>
                </c:pt>
                <c:pt idx="5">
                  <c:v>11.385875462184938</c:v>
                </c:pt>
                <c:pt idx="6">
                  <c:v>11.434654451277066</c:v>
                </c:pt>
                <c:pt idx="7">
                  <c:v>11.406564817634219</c:v>
                </c:pt>
                <c:pt idx="8">
                  <c:v>11.381957718699688</c:v>
                </c:pt>
                <c:pt idx="9">
                  <c:v>11.466929096791292</c:v>
                </c:pt>
                <c:pt idx="10">
                  <c:v>11.582993815119716</c:v>
                </c:pt>
                <c:pt idx="11">
                  <c:v>11.632970540138327</c:v>
                </c:pt>
                <c:pt idx="12">
                  <c:v>11.669416072605012</c:v>
                </c:pt>
                <c:pt idx="13">
                  <c:v>11.729080112761521</c:v>
                </c:pt>
                <c:pt idx="14">
                  <c:v>11.74843836499327</c:v>
                </c:pt>
                <c:pt idx="15">
                  <c:v>11.737950803043139</c:v>
                </c:pt>
                <c:pt idx="16">
                  <c:v>11.769626609893711</c:v>
                </c:pt>
                <c:pt idx="17">
                  <c:v>11.784231132985912</c:v>
                </c:pt>
                <c:pt idx="18">
                  <c:v>11.688801099759417</c:v>
                </c:pt>
                <c:pt idx="19">
                  <c:v>11.569261089931254</c:v>
                </c:pt>
                <c:pt idx="20">
                  <c:v>11.54123348532984</c:v>
                </c:pt>
                <c:pt idx="21">
                  <c:v>11.53834780880698</c:v>
                </c:pt>
                <c:pt idx="22">
                  <c:v>11.476390010365899</c:v>
                </c:pt>
                <c:pt idx="23">
                  <c:v>11.419879051575402</c:v>
                </c:pt>
                <c:pt idx="24">
                  <c:v>11.414807922140248</c:v>
                </c:pt>
                <c:pt idx="25">
                  <c:v>11.402852512701024</c:v>
                </c:pt>
                <c:pt idx="26">
                  <c:v>11.394884879867622</c:v>
                </c:pt>
                <c:pt idx="27">
                  <c:v>11.458479149406418</c:v>
                </c:pt>
                <c:pt idx="28">
                  <c:v>11.525753856090082</c:v>
                </c:pt>
                <c:pt idx="29">
                  <c:v>11.492125937366486</c:v>
                </c:pt>
                <c:pt idx="30">
                  <c:v>11.430591904787384</c:v>
                </c:pt>
                <c:pt idx="31">
                  <c:v>11.444389922331998</c:v>
                </c:pt>
                <c:pt idx="32">
                  <c:v>11.457083359564075</c:v>
                </c:pt>
                <c:pt idx="33">
                  <c:v>11.378152196493115</c:v>
                </c:pt>
                <c:pt idx="34">
                  <c:v>11.2704730273185</c:v>
                </c:pt>
                <c:pt idx="35">
                  <c:v>11.183295369338715</c:v>
                </c:pt>
                <c:pt idx="36">
                  <c:v>11.065983992145757</c:v>
                </c:pt>
                <c:pt idx="37">
                  <c:v>10.940430642074464</c:v>
                </c:pt>
                <c:pt idx="38">
                  <c:v>10.886981219084642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48-48A6-8996-56B021BBC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012544"/>
        <c:axId val="246023360"/>
      </c:lineChart>
      <c:catAx>
        <c:axId val="246012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023360"/>
        <c:crosses val="autoZero"/>
        <c:auto val="1"/>
        <c:lblAlgn val="ctr"/>
        <c:lblOffset val="100"/>
        <c:noMultiLvlLbl val="0"/>
      </c:catAx>
      <c:valAx>
        <c:axId val="24602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01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601085</xdr:colOff>
      <xdr:row>13</xdr:row>
      <xdr:rowOff>137160</xdr:rowOff>
    </xdr:from>
    <xdr:to>
      <xdr:col>14</xdr:col>
      <xdr:colOff>7620</xdr:colOff>
      <xdr:row>31</xdr:row>
      <xdr:rowOff>175708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546847</xdr:colOff>
      <xdr:row>67</xdr:row>
      <xdr:rowOff>44824</xdr:rowOff>
    </xdr:from>
    <xdr:to>
      <xdr:col>17</xdr:col>
      <xdr:colOff>887506</xdr:colOff>
      <xdr:row>82</xdr:row>
      <xdr:rowOff>89647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101</xdr:row>
      <xdr:rowOff>0</xdr:rowOff>
    </xdr:from>
    <xdr:to>
      <xdr:col>21</xdr:col>
      <xdr:colOff>824753</xdr:colOff>
      <xdr:row>116</xdr:row>
      <xdr:rowOff>98611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185057</xdr:colOff>
      <xdr:row>11</xdr:row>
      <xdr:rowOff>0</xdr:rowOff>
    </xdr:from>
    <xdr:to>
      <xdr:col>25</xdr:col>
      <xdr:colOff>70564</xdr:colOff>
      <xdr:row>29</xdr:row>
      <xdr:rowOff>49433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tabSelected="1" topLeftCell="E5" zoomScale="70" zoomScaleNormal="70" workbookViewId="0">
      <selection activeCell="W12" sqref="W12"/>
    </sheetView>
  </sheetViews>
  <sheetFormatPr defaultRowHeight="14.4" x14ac:dyDescent="0.3"/>
  <cols>
    <col min="1" max="1" width="12.44140625" customWidth="1"/>
    <col min="2" max="2" width="12" bestFit="1" customWidth="1"/>
    <col min="3" max="3" width="12.44140625" bestFit="1" customWidth="1"/>
    <col min="4" max="4" width="13.5546875" customWidth="1"/>
    <col min="5" max="5" width="13.88671875" customWidth="1"/>
    <col min="6" max="6" width="15.109375" customWidth="1"/>
    <col min="7" max="7" width="13.5546875" bestFit="1" customWidth="1"/>
    <col min="8" max="8" width="13.21875" bestFit="1" customWidth="1"/>
    <col min="9" max="9" width="13.88671875" bestFit="1" customWidth="1"/>
    <col min="16" max="16" width="18.21875" customWidth="1"/>
    <col min="17" max="17" width="16.88671875" bestFit="1" customWidth="1"/>
    <col min="18" max="18" width="22.109375" bestFit="1" customWidth="1"/>
    <col min="19" max="19" width="15.109375" bestFit="1" customWidth="1"/>
    <col min="20" max="20" width="12.44140625" bestFit="1" customWidth="1"/>
    <col min="21" max="21" width="14.44140625" bestFit="1" customWidth="1"/>
    <col min="22" max="22" width="13" bestFit="1" customWidth="1"/>
    <col min="23" max="23" width="14.6640625" bestFit="1" customWidth="1"/>
    <col min="24" max="24" width="14.77734375" bestFit="1" customWidth="1"/>
  </cols>
  <sheetData>
    <row r="1" spans="1:26" ht="15" thickBot="1" x14ac:dyDescent="0.35">
      <c r="G1" s="15"/>
      <c r="H1" s="15"/>
      <c r="I1" s="15" t="s">
        <v>10</v>
      </c>
      <c r="J1" s="15">
        <v>9</v>
      </c>
      <c r="K1" s="15" t="s">
        <v>10</v>
      </c>
      <c r="L1" s="15">
        <v>6</v>
      </c>
      <c r="M1" s="15" t="s">
        <v>10</v>
      </c>
      <c r="N1" s="15">
        <v>2</v>
      </c>
      <c r="P1" t="s">
        <v>11</v>
      </c>
      <c r="Y1" t="s">
        <v>47</v>
      </c>
      <c r="Z1">
        <f>FINV(0.08,9,24)</f>
        <v>2.0325748014815979</v>
      </c>
    </row>
    <row r="2" spans="1:26" ht="15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G2" s="31" t="s">
        <v>7</v>
      </c>
      <c r="H2" s="31" t="s">
        <v>8</v>
      </c>
      <c r="I2" s="31" t="s">
        <v>9</v>
      </c>
      <c r="J2" s="31">
        <f>J1*2*PI()/33</f>
        <v>1.7135959928671598</v>
      </c>
      <c r="K2" s="31" t="s">
        <v>9</v>
      </c>
      <c r="L2" s="31">
        <f>L1*2*PI()/33</f>
        <v>1.1423973285781066</v>
      </c>
      <c r="M2" s="31" t="s">
        <v>9</v>
      </c>
      <c r="N2" s="31">
        <f>N1*2*PI()/33</f>
        <v>0.38079910952603552</v>
      </c>
    </row>
    <row r="3" spans="1:26" x14ac:dyDescent="0.3">
      <c r="A3" s="5" t="s">
        <v>5</v>
      </c>
      <c r="B3" s="6" t="s">
        <v>6</v>
      </c>
      <c r="C3" s="7">
        <v>44207</v>
      </c>
      <c r="D3" s="8">
        <v>0</v>
      </c>
      <c r="E3" s="6">
        <v>11.484999999999999</v>
      </c>
      <c r="F3" s="32">
        <v>1</v>
      </c>
      <c r="G3" s="32">
        <v>1</v>
      </c>
      <c r="H3" s="32">
        <f>G3*G3</f>
        <v>1</v>
      </c>
      <c r="I3" s="32">
        <f>COS($J$2*G3)</f>
        <v>-0.142314838273285</v>
      </c>
      <c r="J3" s="32">
        <f>SIN($J$2*G3)</f>
        <v>0.9898214418809328</v>
      </c>
      <c r="K3" s="32">
        <f>COS($L$2*G3)</f>
        <v>0.41541501300188644</v>
      </c>
      <c r="L3" s="32">
        <f>SIN($L$2*G3)</f>
        <v>0.90963199535451833</v>
      </c>
      <c r="M3" s="32">
        <f>COS($N$2*G3)</f>
        <v>0.92836793301607257</v>
      </c>
      <c r="N3" s="32">
        <f>SIN($N$2*G3)</f>
        <v>0.37166245566032752</v>
      </c>
      <c r="O3" s="32">
        <f>$Q$27+$R$27*G3+$S$27*POWER(G3,2)+$T$27*I3+$U$27*J3+$V$27*K3+$W$27*L3+$X$27*M3+$Y$27*N3</f>
        <v>11.45048729591876</v>
      </c>
      <c r="P3" s="19" t="s">
        <v>12</v>
      </c>
      <c r="Q3" s="19"/>
    </row>
    <row r="4" spans="1:26" x14ac:dyDescent="0.3">
      <c r="A4" s="5" t="s">
        <v>5</v>
      </c>
      <c r="B4" s="6" t="s">
        <v>6</v>
      </c>
      <c r="C4" s="7">
        <v>44208</v>
      </c>
      <c r="D4" s="8">
        <v>0</v>
      </c>
      <c r="E4" s="6">
        <v>11.496</v>
      </c>
      <c r="F4" s="32">
        <v>1</v>
      </c>
      <c r="G4" s="32">
        <v>2</v>
      </c>
      <c r="H4" s="32">
        <f t="shared" ref="H4:H41" si="0">G4*G4</f>
        <v>4</v>
      </c>
      <c r="I4" s="32">
        <f t="shared" ref="I4:I41" si="1">COS($J$2*G4)</f>
        <v>-0.95949297361449748</v>
      </c>
      <c r="J4" s="32">
        <f t="shared" ref="J4:J41" si="2">SIN($J$2*G4)</f>
        <v>-0.28173255684142939</v>
      </c>
      <c r="K4" s="32">
        <f t="shared" ref="K4:K41" si="3">COS($L$2*G4)</f>
        <v>-0.65486073394528499</v>
      </c>
      <c r="L4" s="32">
        <f t="shared" ref="L4:L41" si="4">SIN($L$2*G4)</f>
        <v>0.75574957435425827</v>
      </c>
      <c r="M4" s="32">
        <f t="shared" ref="M4:M41" si="5">COS($N$2*G4)</f>
        <v>0.7237340381050702</v>
      </c>
      <c r="N4" s="32">
        <f t="shared" ref="N4:N41" si="6">SIN($N$2*G4)</f>
        <v>0.69007901148211193</v>
      </c>
      <c r="O4" s="32">
        <f t="shared" ref="O4:O41" si="7">$Q$27+$R$27*G4+$S$27*POWER(G4,2)+$T$27*I4+$U$27*J4+$V$27*K4+$W$27*L4+$X$27*M4+$Y$27*N4</f>
        <v>11.428119955479078</v>
      </c>
      <c r="P4" s="16" t="s">
        <v>13</v>
      </c>
      <c r="Q4" s="16">
        <v>0.95934347214656801</v>
      </c>
    </row>
    <row r="5" spans="1:26" x14ac:dyDescent="0.3">
      <c r="A5" s="5" t="s">
        <v>5</v>
      </c>
      <c r="B5" s="6" t="s">
        <v>6</v>
      </c>
      <c r="C5" s="7">
        <v>44209</v>
      </c>
      <c r="D5" s="8">
        <v>0</v>
      </c>
      <c r="E5" s="6">
        <v>11.417999999999999</v>
      </c>
      <c r="F5" s="32">
        <v>1</v>
      </c>
      <c r="G5" s="32">
        <v>3</v>
      </c>
      <c r="H5" s="32">
        <f t="shared" si="0"/>
        <v>9</v>
      </c>
      <c r="I5" s="32">
        <f t="shared" si="1"/>
        <v>0.41541501300188605</v>
      </c>
      <c r="J5" s="32">
        <f t="shared" si="2"/>
        <v>-0.90963199535451855</v>
      </c>
      <c r="K5" s="32">
        <f t="shared" si="3"/>
        <v>-0.95949297361449748</v>
      </c>
      <c r="L5" s="32">
        <f t="shared" si="4"/>
        <v>-0.28173255684142939</v>
      </c>
      <c r="M5" s="32">
        <f t="shared" si="5"/>
        <v>0.41541501300188644</v>
      </c>
      <c r="N5" s="32">
        <f t="shared" si="6"/>
        <v>0.90963199535451833</v>
      </c>
      <c r="O5" s="32">
        <f t="shared" si="7"/>
        <v>11.426254126234221</v>
      </c>
      <c r="P5" s="16" t="s">
        <v>14</v>
      </c>
      <c r="Q5" s="16">
        <v>0.92033989755023282</v>
      </c>
    </row>
    <row r="6" spans="1:26" x14ac:dyDescent="0.3">
      <c r="A6" s="5" t="s">
        <v>5</v>
      </c>
      <c r="B6" s="6" t="s">
        <v>6</v>
      </c>
      <c r="C6" s="7">
        <v>44210</v>
      </c>
      <c r="D6" s="8">
        <v>0</v>
      </c>
      <c r="E6" s="6">
        <v>11.37</v>
      </c>
      <c r="F6" s="32">
        <v>1</v>
      </c>
      <c r="G6" s="32">
        <v>4</v>
      </c>
      <c r="H6" s="32">
        <f t="shared" si="0"/>
        <v>16</v>
      </c>
      <c r="I6" s="32">
        <f t="shared" si="1"/>
        <v>0.84125353283118154</v>
      </c>
      <c r="J6" s="32">
        <f t="shared" si="2"/>
        <v>0.54064081745559711</v>
      </c>
      <c r="K6" s="32">
        <f t="shared" si="3"/>
        <v>-0.14231483827328523</v>
      </c>
      <c r="L6" s="32">
        <f t="shared" si="4"/>
        <v>-0.98982144188093268</v>
      </c>
      <c r="M6" s="32">
        <f t="shared" si="5"/>
        <v>4.7581915823742403E-2</v>
      </c>
      <c r="N6" s="32">
        <f t="shared" si="6"/>
        <v>0.99886733918300796</v>
      </c>
      <c r="O6" s="32">
        <f t="shared" si="7"/>
        <v>11.394254577776197</v>
      </c>
      <c r="P6" s="16" t="s">
        <v>15</v>
      </c>
      <c r="Q6" s="16">
        <v>0.89378653006697706</v>
      </c>
    </row>
    <row r="7" spans="1:26" x14ac:dyDescent="0.3">
      <c r="A7" s="5" t="s">
        <v>5</v>
      </c>
      <c r="B7" s="6" t="s">
        <v>6</v>
      </c>
      <c r="C7" s="7">
        <v>44211</v>
      </c>
      <c r="D7" s="8">
        <v>0</v>
      </c>
      <c r="E7" s="6">
        <v>11.35</v>
      </c>
      <c r="F7" s="32">
        <v>1</v>
      </c>
      <c r="G7" s="32">
        <v>5</v>
      </c>
      <c r="H7" s="32">
        <f t="shared" si="0"/>
        <v>25</v>
      </c>
      <c r="I7" s="32">
        <f t="shared" si="1"/>
        <v>-0.65486073394528388</v>
      </c>
      <c r="J7" s="32">
        <f t="shared" si="2"/>
        <v>0.75574957435425938</v>
      </c>
      <c r="K7" s="32">
        <f t="shared" si="3"/>
        <v>0.84125353283118121</v>
      </c>
      <c r="L7" s="32">
        <f t="shared" si="4"/>
        <v>-0.54064081745559744</v>
      </c>
      <c r="M7" s="32">
        <f t="shared" si="5"/>
        <v>-0.32706796331742144</v>
      </c>
      <c r="N7" s="32">
        <f t="shared" si="6"/>
        <v>0.94500081871466857</v>
      </c>
      <c r="O7" s="32">
        <f t="shared" si="7"/>
        <v>11.354013056439832</v>
      </c>
      <c r="P7" s="16" t="s">
        <v>16</v>
      </c>
      <c r="Q7" s="16">
        <v>4.4371696263151128E-2</v>
      </c>
    </row>
    <row r="8" spans="1:26" ht="15" thickBot="1" x14ac:dyDescent="0.35">
      <c r="A8" s="5" t="s">
        <v>5</v>
      </c>
      <c r="B8" s="6" t="s">
        <v>6</v>
      </c>
      <c r="C8" s="7">
        <v>44214</v>
      </c>
      <c r="D8" s="8">
        <v>0</v>
      </c>
      <c r="E8" s="6">
        <v>11.4</v>
      </c>
      <c r="F8" s="32">
        <v>1</v>
      </c>
      <c r="G8" s="32">
        <v>6</v>
      </c>
      <c r="H8" s="32">
        <f t="shared" si="0"/>
        <v>36</v>
      </c>
      <c r="I8" s="32">
        <f t="shared" si="1"/>
        <v>-0.65486073394528577</v>
      </c>
      <c r="J8" s="32">
        <f t="shared" si="2"/>
        <v>-0.75574957435425771</v>
      </c>
      <c r="K8" s="32">
        <f t="shared" si="3"/>
        <v>0.84125353283118154</v>
      </c>
      <c r="L8" s="32">
        <f t="shared" si="4"/>
        <v>0.54064081745559711</v>
      </c>
      <c r="M8" s="32">
        <f t="shared" si="5"/>
        <v>-0.65486073394528499</v>
      </c>
      <c r="N8" s="32">
        <f t="shared" si="6"/>
        <v>0.75574957435425827</v>
      </c>
      <c r="O8" s="32">
        <f t="shared" si="7"/>
        <v>11.385875462184938</v>
      </c>
      <c r="P8" s="17" t="s">
        <v>17</v>
      </c>
      <c r="Q8" s="17">
        <v>33</v>
      </c>
    </row>
    <row r="9" spans="1:26" x14ac:dyDescent="0.3">
      <c r="A9" s="5" t="s">
        <v>5</v>
      </c>
      <c r="B9" s="6" t="s">
        <v>6</v>
      </c>
      <c r="C9" s="7">
        <v>44215</v>
      </c>
      <c r="D9" s="8">
        <v>0</v>
      </c>
      <c r="E9" s="6">
        <v>11.36</v>
      </c>
      <c r="F9" s="32">
        <v>1</v>
      </c>
      <c r="G9" s="32">
        <v>7</v>
      </c>
      <c r="H9" s="32">
        <f t="shared" si="0"/>
        <v>49</v>
      </c>
      <c r="I9" s="32">
        <f t="shared" si="1"/>
        <v>0.84125353283118109</v>
      </c>
      <c r="J9" s="32">
        <f t="shared" si="2"/>
        <v>-0.54064081745559767</v>
      </c>
      <c r="K9" s="32">
        <f t="shared" si="3"/>
        <v>-0.14231483827328475</v>
      </c>
      <c r="L9" s="32">
        <f t="shared" si="4"/>
        <v>0.9898214418809328</v>
      </c>
      <c r="M9" s="32">
        <f t="shared" si="5"/>
        <v>-0.88883544865492337</v>
      </c>
      <c r="N9" s="32">
        <f t="shared" si="6"/>
        <v>0.45822652172741052</v>
      </c>
      <c r="O9" s="32">
        <f t="shared" si="7"/>
        <v>11.434654451277066</v>
      </c>
    </row>
    <row r="10" spans="1:26" ht="15" thickBot="1" x14ac:dyDescent="0.35">
      <c r="A10" s="5" t="s">
        <v>5</v>
      </c>
      <c r="B10" s="6" t="s">
        <v>6</v>
      </c>
      <c r="C10" s="7">
        <v>44216</v>
      </c>
      <c r="D10" s="8">
        <v>0</v>
      </c>
      <c r="E10" s="6">
        <v>11.34</v>
      </c>
      <c r="F10" s="32">
        <v>1</v>
      </c>
      <c r="G10" s="32">
        <v>8</v>
      </c>
      <c r="H10" s="32">
        <f t="shared" si="0"/>
        <v>64</v>
      </c>
      <c r="I10" s="32">
        <f t="shared" si="1"/>
        <v>0.41541501300188749</v>
      </c>
      <c r="J10" s="32">
        <f t="shared" si="2"/>
        <v>0.90963199535451789</v>
      </c>
      <c r="K10" s="32">
        <f t="shared" si="3"/>
        <v>-0.95949297361449737</v>
      </c>
      <c r="L10" s="32">
        <f t="shared" si="4"/>
        <v>0.28173255684142989</v>
      </c>
      <c r="M10" s="32">
        <f t="shared" si="5"/>
        <v>-0.99547192257308459</v>
      </c>
      <c r="N10" s="32">
        <f t="shared" si="6"/>
        <v>9.505604330418288E-2</v>
      </c>
      <c r="O10" s="32">
        <f t="shared" si="7"/>
        <v>11.406564817634219</v>
      </c>
      <c r="P10" t="s">
        <v>18</v>
      </c>
    </row>
    <row r="11" spans="1:26" x14ac:dyDescent="0.3">
      <c r="A11" s="5" t="s">
        <v>5</v>
      </c>
      <c r="B11" s="6" t="s">
        <v>6</v>
      </c>
      <c r="C11" s="7">
        <v>44217</v>
      </c>
      <c r="D11" s="8">
        <v>0</v>
      </c>
      <c r="E11" s="6">
        <v>11.36</v>
      </c>
      <c r="F11" s="32">
        <v>1</v>
      </c>
      <c r="G11" s="32">
        <v>9</v>
      </c>
      <c r="H11" s="32">
        <f t="shared" si="0"/>
        <v>81</v>
      </c>
      <c r="I11" s="32">
        <f t="shared" si="1"/>
        <v>-0.95949297361449681</v>
      </c>
      <c r="J11" s="32">
        <f t="shared" si="2"/>
        <v>0.28173255684143184</v>
      </c>
      <c r="K11" s="32">
        <f t="shared" si="3"/>
        <v>-0.65486073394528577</v>
      </c>
      <c r="L11" s="32">
        <f t="shared" si="4"/>
        <v>-0.75574957435425771</v>
      </c>
      <c r="M11" s="32">
        <f t="shared" si="5"/>
        <v>-0.95949297361449748</v>
      </c>
      <c r="N11" s="32">
        <f t="shared" si="6"/>
        <v>-0.28173255684142939</v>
      </c>
      <c r="O11" s="32">
        <f t="shared" si="7"/>
        <v>11.381957718699688</v>
      </c>
      <c r="P11" s="18"/>
      <c r="Q11" s="18" t="s">
        <v>23</v>
      </c>
      <c r="R11" s="18" t="s">
        <v>24</v>
      </c>
      <c r="S11" s="18" t="s">
        <v>25</v>
      </c>
      <c r="T11" s="18" t="s">
        <v>26</v>
      </c>
      <c r="U11" s="18" t="s">
        <v>27</v>
      </c>
    </row>
    <row r="12" spans="1:26" x14ac:dyDescent="0.3">
      <c r="A12" s="5" t="s">
        <v>5</v>
      </c>
      <c r="B12" s="6" t="s">
        <v>6</v>
      </c>
      <c r="C12" s="7">
        <v>44218</v>
      </c>
      <c r="D12" s="8">
        <v>0</v>
      </c>
      <c r="E12" s="6">
        <v>11.47</v>
      </c>
      <c r="F12" s="32">
        <v>1</v>
      </c>
      <c r="G12" s="32">
        <v>10</v>
      </c>
      <c r="H12" s="32">
        <f t="shared" si="0"/>
        <v>100</v>
      </c>
      <c r="I12" s="32">
        <f t="shared" si="1"/>
        <v>-0.14231483827328836</v>
      </c>
      <c r="J12" s="32">
        <f t="shared" si="2"/>
        <v>-0.98982144188093224</v>
      </c>
      <c r="K12" s="32">
        <f t="shared" si="3"/>
        <v>0.4154150130018866</v>
      </c>
      <c r="L12" s="32">
        <f t="shared" si="4"/>
        <v>-0.90963199535451833</v>
      </c>
      <c r="M12" s="32">
        <f t="shared" si="5"/>
        <v>-0.78605309474278773</v>
      </c>
      <c r="N12" s="32">
        <f t="shared" si="6"/>
        <v>-0.61815898622060494</v>
      </c>
      <c r="O12" s="32">
        <f t="shared" si="7"/>
        <v>11.466929096791292</v>
      </c>
      <c r="P12" s="16" t="s">
        <v>19</v>
      </c>
      <c r="Q12" s="16">
        <v>8</v>
      </c>
      <c r="R12" s="16">
        <v>0.54592212230359616</v>
      </c>
      <c r="S12" s="16">
        <v>6.824026528794952E-2</v>
      </c>
      <c r="T12" s="16">
        <v>34.660006800666217</v>
      </c>
      <c r="U12" s="16">
        <v>2.3628787533244361E-11</v>
      </c>
    </row>
    <row r="13" spans="1:26" x14ac:dyDescent="0.3">
      <c r="A13" s="5" t="s">
        <v>5</v>
      </c>
      <c r="B13" s="6" t="s">
        <v>6</v>
      </c>
      <c r="C13" s="7">
        <v>44221</v>
      </c>
      <c r="D13" s="8">
        <v>0</v>
      </c>
      <c r="E13" s="6">
        <v>11.593999999999999</v>
      </c>
      <c r="F13" s="32">
        <v>1</v>
      </c>
      <c r="G13" s="32">
        <v>11</v>
      </c>
      <c r="H13" s="32">
        <f t="shared" si="0"/>
        <v>121</v>
      </c>
      <c r="I13" s="32">
        <f t="shared" si="1"/>
        <v>1</v>
      </c>
      <c r="J13" s="32">
        <f t="shared" si="2"/>
        <v>-7.3508907294517201E-16</v>
      </c>
      <c r="K13" s="32">
        <f t="shared" si="3"/>
        <v>1</v>
      </c>
      <c r="L13" s="32">
        <f t="shared" si="4"/>
        <v>-4.90059381963448E-16</v>
      </c>
      <c r="M13" s="32">
        <f t="shared" si="5"/>
        <v>-0.50000000000000044</v>
      </c>
      <c r="N13" s="32">
        <f t="shared" si="6"/>
        <v>-0.86602540378443837</v>
      </c>
      <c r="O13" s="32">
        <f t="shared" si="7"/>
        <v>11.582993815119716</v>
      </c>
      <c r="P13" s="16" t="s">
        <v>20</v>
      </c>
      <c r="Q13" s="16">
        <v>24</v>
      </c>
      <c r="R13" s="16">
        <v>4.7252338302464156E-2</v>
      </c>
      <c r="S13" s="16">
        <v>1.9688474292693398E-3</v>
      </c>
      <c r="T13" s="16"/>
      <c r="U13" s="16"/>
    </row>
    <row r="14" spans="1:26" ht="15" thickBot="1" x14ac:dyDescent="0.35">
      <c r="A14" s="5" t="s">
        <v>5</v>
      </c>
      <c r="B14" s="6" t="s">
        <v>6</v>
      </c>
      <c r="C14" s="7">
        <v>44222</v>
      </c>
      <c r="D14" s="8">
        <v>0</v>
      </c>
      <c r="E14" s="6">
        <v>11.664899999999999</v>
      </c>
      <c r="F14" s="32">
        <v>1</v>
      </c>
      <c r="G14" s="32">
        <v>12</v>
      </c>
      <c r="H14" s="32">
        <f t="shared" si="0"/>
        <v>144</v>
      </c>
      <c r="I14" s="32">
        <f t="shared" si="1"/>
        <v>-0.14231483827328339</v>
      </c>
      <c r="J14" s="32">
        <f t="shared" si="2"/>
        <v>0.98982144188093302</v>
      </c>
      <c r="K14" s="32">
        <f t="shared" si="3"/>
        <v>0.41541501300188749</v>
      </c>
      <c r="L14" s="32">
        <f t="shared" si="4"/>
        <v>0.90963199535451789</v>
      </c>
      <c r="M14" s="32">
        <f t="shared" si="5"/>
        <v>-0.14231483827328523</v>
      </c>
      <c r="N14" s="32">
        <f t="shared" si="6"/>
        <v>-0.98982144188093268</v>
      </c>
      <c r="O14" s="32">
        <f t="shared" si="7"/>
        <v>11.632970540138327</v>
      </c>
      <c r="P14" s="17" t="s">
        <v>21</v>
      </c>
      <c r="Q14" s="17">
        <v>32</v>
      </c>
      <c r="R14" s="17">
        <v>0.59317446060606027</v>
      </c>
      <c r="S14" s="17"/>
      <c r="T14" s="17"/>
      <c r="U14" s="17"/>
    </row>
    <row r="15" spans="1:26" ht="15" thickBot="1" x14ac:dyDescent="0.35">
      <c r="A15" s="5" t="s">
        <v>5</v>
      </c>
      <c r="B15" s="6" t="s">
        <v>6</v>
      </c>
      <c r="C15" s="7">
        <v>44223</v>
      </c>
      <c r="D15" s="8">
        <v>0</v>
      </c>
      <c r="E15" s="6">
        <v>11.63</v>
      </c>
      <c r="F15" s="32">
        <v>1</v>
      </c>
      <c r="G15" s="32">
        <v>13</v>
      </c>
      <c r="H15" s="32">
        <f t="shared" si="0"/>
        <v>169</v>
      </c>
      <c r="I15" s="32">
        <f t="shared" si="1"/>
        <v>-0.95949297361449815</v>
      </c>
      <c r="J15" s="32">
        <f t="shared" si="2"/>
        <v>-0.28173255684142701</v>
      </c>
      <c r="K15" s="32">
        <f t="shared" si="3"/>
        <v>-0.65486073394528499</v>
      </c>
      <c r="L15" s="32">
        <f t="shared" si="4"/>
        <v>0.75574957435425838</v>
      </c>
      <c r="M15" s="32">
        <f t="shared" si="5"/>
        <v>0.23575893550942661</v>
      </c>
      <c r="N15" s="32">
        <f t="shared" si="6"/>
        <v>-0.97181156832354187</v>
      </c>
      <c r="O15" s="32">
        <f t="shared" si="7"/>
        <v>11.669416072605012</v>
      </c>
    </row>
    <row r="16" spans="1:26" x14ac:dyDescent="0.3">
      <c r="A16" s="5" t="s">
        <v>5</v>
      </c>
      <c r="B16" s="6" t="s">
        <v>6</v>
      </c>
      <c r="C16" s="7">
        <v>44224</v>
      </c>
      <c r="D16" s="8">
        <v>0</v>
      </c>
      <c r="E16" s="6">
        <v>11.79</v>
      </c>
      <c r="F16" s="32">
        <v>1</v>
      </c>
      <c r="G16" s="32">
        <v>14</v>
      </c>
      <c r="H16" s="32">
        <f t="shared" si="0"/>
        <v>196</v>
      </c>
      <c r="I16" s="32">
        <f t="shared" si="1"/>
        <v>0.41541501300188616</v>
      </c>
      <c r="J16" s="32">
        <f t="shared" si="2"/>
        <v>-0.90963199535451844</v>
      </c>
      <c r="K16" s="32">
        <f t="shared" si="3"/>
        <v>-0.95949297361449759</v>
      </c>
      <c r="L16" s="32">
        <f t="shared" si="4"/>
        <v>-0.28173255684142895</v>
      </c>
      <c r="M16" s="32">
        <f t="shared" si="5"/>
        <v>0.58005690957119793</v>
      </c>
      <c r="N16" s="32">
        <f t="shared" si="6"/>
        <v>-0.81457595205033584</v>
      </c>
      <c r="O16" s="32">
        <f t="shared" si="7"/>
        <v>11.729080112761521</v>
      </c>
      <c r="P16" s="18"/>
      <c r="Q16" s="18" t="s">
        <v>28</v>
      </c>
      <c r="R16" s="18" t="s">
        <v>16</v>
      </c>
      <c r="S16" s="18" t="s">
        <v>29</v>
      </c>
      <c r="T16" s="18" t="s">
        <v>30</v>
      </c>
      <c r="U16" s="18" t="s">
        <v>31</v>
      </c>
      <c r="V16" s="18" t="s">
        <v>32</v>
      </c>
      <c r="W16" s="18" t="s">
        <v>33</v>
      </c>
      <c r="X16" s="18" t="s">
        <v>34</v>
      </c>
    </row>
    <row r="17" spans="1:25" ht="15" thickBot="1" x14ac:dyDescent="0.35">
      <c r="A17" s="5" t="s">
        <v>5</v>
      </c>
      <c r="B17" s="6" t="s">
        <v>6</v>
      </c>
      <c r="C17" s="7">
        <v>44225</v>
      </c>
      <c r="D17" s="8">
        <v>0</v>
      </c>
      <c r="E17" s="6">
        <v>11.789</v>
      </c>
      <c r="F17" s="32">
        <v>1</v>
      </c>
      <c r="G17" s="32">
        <v>15</v>
      </c>
      <c r="H17" s="32">
        <f t="shared" si="0"/>
        <v>225</v>
      </c>
      <c r="I17" s="32">
        <f t="shared" si="1"/>
        <v>0.84125353283118187</v>
      </c>
      <c r="J17" s="32">
        <f t="shared" si="2"/>
        <v>0.54064081745559645</v>
      </c>
      <c r="K17" s="32">
        <f t="shared" si="3"/>
        <v>-0.14231483827328484</v>
      </c>
      <c r="L17" s="32">
        <f t="shared" si="4"/>
        <v>-0.9898214418809328</v>
      </c>
      <c r="M17" s="32">
        <f t="shared" si="5"/>
        <v>0.84125353283118076</v>
      </c>
      <c r="N17" s="32">
        <f t="shared" si="6"/>
        <v>-0.54064081745559822</v>
      </c>
      <c r="O17" s="32">
        <f t="shared" si="7"/>
        <v>11.74843836499327</v>
      </c>
      <c r="P17" s="16" t="s">
        <v>22</v>
      </c>
      <c r="Q17" s="16">
        <v>11.275247165548743</v>
      </c>
      <c r="R17" s="16">
        <v>2.5926587674834339E-2</v>
      </c>
      <c r="S17" s="16">
        <v>434.8912902446113</v>
      </c>
      <c r="T17" s="16">
        <v>2.8059107825737838E-48</v>
      </c>
      <c r="U17" s="16">
        <v>11.221737318538729</v>
      </c>
      <c r="V17" s="16">
        <v>11.328757012558757</v>
      </c>
      <c r="W17" s="16">
        <v>11.221737318538729</v>
      </c>
      <c r="X17" s="16">
        <v>11.328757012558757</v>
      </c>
      <c r="Y17" s="17"/>
    </row>
    <row r="18" spans="1:25" x14ac:dyDescent="0.3">
      <c r="A18" s="5" t="s">
        <v>5</v>
      </c>
      <c r="B18" s="6" t="s">
        <v>6</v>
      </c>
      <c r="C18" s="7">
        <v>44228</v>
      </c>
      <c r="D18" s="8">
        <v>0</v>
      </c>
      <c r="E18" s="6">
        <v>11.6662</v>
      </c>
      <c r="F18" s="32">
        <v>1</v>
      </c>
      <c r="G18" s="32">
        <v>16</v>
      </c>
      <c r="H18" s="32">
        <f t="shared" si="0"/>
        <v>256</v>
      </c>
      <c r="I18" s="32">
        <f t="shared" si="1"/>
        <v>-0.65486073394528332</v>
      </c>
      <c r="J18" s="32">
        <f t="shared" si="2"/>
        <v>0.75574957435425982</v>
      </c>
      <c r="K18" s="32">
        <f t="shared" si="3"/>
        <v>0.84125353283118098</v>
      </c>
      <c r="L18" s="32">
        <f t="shared" si="4"/>
        <v>-0.54064081745559789</v>
      </c>
      <c r="M18" s="32">
        <f t="shared" si="5"/>
        <v>0.9819286972627066</v>
      </c>
      <c r="N18" s="32">
        <f t="shared" si="6"/>
        <v>-0.18925124436041063</v>
      </c>
      <c r="O18" s="32">
        <f t="shared" si="7"/>
        <v>11.737950803043139</v>
      </c>
      <c r="P18" s="16" t="s">
        <v>35</v>
      </c>
      <c r="Q18" s="16">
        <v>4.3049148588958634E-2</v>
      </c>
      <c r="R18" s="16">
        <v>3.4596735174401085E-3</v>
      </c>
      <c r="S18" s="16">
        <v>12.443124581539037</v>
      </c>
      <c r="T18" s="16">
        <v>5.878418787870125E-12</v>
      </c>
      <c r="U18" s="16">
        <v>3.5908733392611421E-2</v>
      </c>
      <c r="V18" s="16">
        <v>5.0189563785305848E-2</v>
      </c>
      <c r="W18" s="16">
        <v>3.5908733392611421E-2</v>
      </c>
      <c r="X18" s="16">
        <v>5.0189563785305848E-2</v>
      </c>
    </row>
    <row r="19" spans="1:25" x14ac:dyDescent="0.3">
      <c r="A19" s="5" t="s">
        <v>5</v>
      </c>
      <c r="B19" s="6" t="s">
        <v>6</v>
      </c>
      <c r="C19" s="7">
        <v>44229</v>
      </c>
      <c r="D19" s="8">
        <v>0</v>
      </c>
      <c r="E19" s="6">
        <v>11.739599999999999</v>
      </c>
      <c r="F19" s="32">
        <v>1</v>
      </c>
      <c r="G19" s="32">
        <v>17</v>
      </c>
      <c r="H19" s="32">
        <f t="shared" si="0"/>
        <v>289</v>
      </c>
      <c r="I19" s="32">
        <f t="shared" si="1"/>
        <v>-0.65486073394528765</v>
      </c>
      <c r="J19" s="32">
        <f t="shared" si="2"/>
        <v>-0.75574957435425605</v>
      </c>
      <c r="K19" s="32">
        <f t="shared" si="3"/>
        <v>0.84125353283118176</v>
      </c>
      <c r="L19" s="32">
        <f t="shared" si="4"/>
        <v>0.54064081745559667</v>
      </c>
      <c r="M19" s="32">
        <f t="shared" si="5"/>
        <v>0.98192869726270671</v>
      </c>
      <c r="N19" s="32">
        <f t="shared" si="6"/>
        <v>0.18925124436041013</v>
      </c>
      <c r="O19" s="32">
        <f t="shared" si="7"/>
        <v>11.769626609893711</v>
      </c>
      <c r="P19" s="16" t="s">
        <v>40</v>
      </c>
      <c r="Q19" s="16">
        <v>-1.2926034656807635E-3</v>
      </c>
      <c r="R19" s="16">
        <v>9.8274062240196275E-5</v>
      </c>
      <c r="S19" s="16">
        <v>-13.153048080188752</v>
      </c>
      <c r="T19" s="16">
        <v>1.8285269471066954E-12</v>
      </c>
      <c r="U19" s="16">
        <v>-1.4954311613836477E-3</v>
      </c>
      <c r="V19" s="16">
        <v>-1.0897757699778793E-3</v>
      </c>
      <c r="W19" s="16">
        <v>-1.4954311613836477E-3</v>
      </c>
      <c r="X19" s="16">
        <v>-1.0897757699778793E-3</v>
      </c>
    </row>
    <row r="20" spans="1:25" x14ac:dyDescent="0.3">
      <c r="A20" s="5" t="s">
        <v>5</v>
      </c>
      <c r="B20" s="6" t="s">
        <v>6</v>
      </c>
      <c r="C20" s="7">
        <v>44230</v>
      </c>
      <c r="D20" s="8">
        <v>0</v>
      </c>
      <c r="E20" s="6">
        <v>11.795</v>
      </c>
      <c r="F20" s="32">
        <v>1</v>
      </c>
      <c r="G20" s="32">
        <v>18</v>
      </c>
      <c r="H20" s="32">
        <f t="shared" si="0"/>
        <v>324</v>
      </c>
      <c r="I20" s="32">
        <f t="shared" si="1"/>
        <v>0.84125353283117876</v>
      </c>
      <c r="J20" s="32">
        <f t="shared" si="2"/>
        <v>-0.54064081745560133</v>
      </c>
      <c r="K20" s="32">
        <f t="shared" si="3"/>
        <v>-0.14231483827328339</v>
      </c>
      <c r="L20" s="32">
        <f t="shared" si="4"/>
        <v>0.98982144188093302</v>
      </c>
      <c r="M20" s="32">
        <f t="shared" si="5"/>
        <v>0.84125353283118154</v>
      </c>
      <c r="N20" s="32">
        <f t="shared" si="6"/>
        <v>0.54064081745559711</v>
      </c>
      <c r="O20" s="32">
        <f t="shared" si="7"/>
        <v>11.784231132985912</v>
      </c>
      <c r="P20" s="16" t="s">
        <v>41</v>
      </c>
      <c r="Q20" s="16">
        <v>2.7138101579435133E-2</v>
      </c>
      <c r="R20" s="16">
        <v>1.0960586903356355E-2</v>
      </c>
      <c r="S20" s="16">
        <v>2.4759715714789774</v>
      </c>
      <c r="T20" s="16">
        <v>2.0731931270252746E-2</v>
      </c>
      <c r="U20" s="16">
        <v>4.5165620349989812E-3</v>
      </c>
      <c r="V20" s="16">
        <v>4.9759641123871282E-2</v>
      </c>
      <c r="W20" s="16">
        <v>4.5165620349989812E-3</v>
      </c>
      <c r="X20" s="16">
        <v>4.9759641123871282E-2</v>
      </c>
    </row>
    <row r="21" spans="1:25" x14ac:dyDescent="0.3">
      <c r="A21" s="5" t="s">
        <v>5</v>
      </c>
      <c r="B21" s="6" t="s">
        <v>6</v>
      </c>
      <c r="C21" s="7">
        <v>44231</v>
      </c>
      <c r="D21" s="8">
        <v>0</v>
      </c>
      <c r="E21" s="6">
        <v>11.68</v>
      </c>
      <c r="F21" s="32">
        <v>1</v>
      </c>
      <c r="G21" s="32">
        <v>19</v>
      </c>
      <c r="H21" s="32">
        <f t="shared" si="0"/>
        <v>361</v>
      </c>
      <c r="I21" s="32">
        <f t="shared" si="1"/>
        <v>0.41541501300188816</v>
      </c>
      <c r="J21" s="32">
        <f t="shared" si="2"/>
        <v>0.90963199535451755</v>
      </c>
      <c r="K21" s="32">
        <f t="shared" si="3"/>
        <v>-0.9594929736144977</v>
      </c>
      <c r="L21" s="32">
        <f t="shared" si="4"/>
        <v>0.28173255684142867</v>
      </c>
      <c r="M21" s="32">
        <f t="shared" si="5"/>
        <v>0.58005690957119838</v>
      </c>
      <c r="N21" s="32">
        <f t="shared" si="6"/>
        <v>0.81457595205033562</v>
      </c>
      <c r="O21" s="32">
        <f t="shared" si="7"/>
        <v>11.688801099759417</v>
      </c>
      <c r="P21" s="16" t="s">
        <v>42</v>
      </c>
      <c r="Q21" s="16">
        <v>-6.928215291752862E-3</v>
      </c>
      <c r="R21" s="16">
        <v>1.0951516209989541E-2</v>
      </c>
      <c r="S21" s="16">
        <v>-0.63262612764369719</v>
      </c>
      <c r="T21" s="20">
        <v>0.53295944330408862</v>
      </c>
      <c r="U21" s="16">
        <v>-2.9531033845196283E-2</v>
      </c>
      <c r="V21" s="16">
        <v>1.5674603261690557E-2</v>
      </c>
      <c r="W21" s="16">
        <v>-2.9531033845196283E-2</v>
      </c>
      <c r="X21" s="16">
        <v>1.5674603261690557E-2</v>
      </c>
    </row>
    <row r="22" spans="1:25" x14ac:dyDescent="0.3">
      <c r="A22" s="5" t="s">
        <v>5</v>
      </c>
      <c r="B22" s="6" t="s">
        <v>6</v>
      </c>
      <c r="C22" s="7">
        <v>44232</v>
      </c>
      <c r="D22" s="8">
        <v>0</v>
      </c>
      <c r="E22" s="6">
        <v>11.595000000000001</v>
      </c>
      <c r="F22" s="32">
        <v>1</v>
      </c>
      <c r="G22" s="32">
        <v>20</v>
      </c>
      <c r="H22" s="32">
        <f t="shared" si="0"/>
        <v>400</v>
      </c>
      <c r="I22" s="32">
        <f t="shared" si="1"/>
        <v>-0.95949297361449559</v>
      </c>
      <c r="J22" s="32">
        <f t="shared" si="2"/>
        <v>0.28173255684143594</v>
      </c>
      <c r="K22" s="32">
        <f t="shared" si="3"/>
        <v>-0.65486073394528477</v>
      </c>
      <c r="L22" s="32">
        <f t="shared" si="4"/>
        <v>-0.75574957435425849</v>
      </c>
      <c r="M22" s="32">
        <f t="shared" si="5"/>
        <v>0.23575893550942797</v>
      </c>
      <c r="N22" s="32">
        <f t="shared" si="6"/>
        <v>0.97181156832354154</v>
      </c>
      <c r="O22" s="32">
        <f t="shared" si="7"/>
        <v>11.569261089931254</v>
      </c>
      <c r="P22" s="16" t="s">
        <v>43</v>
      </c>
      <c r="Q22" s="16">
        <v>6.5652153660611112E-3</v>
      </c>
      <c r="R22" s="16">
        <v>1.0962921058688218E-2</v>
      </c>
      <c r="S22" s="16">
        <v>0.59885639337502261</v>
      </c>
      <c r="T22" s="20">
        <v>0.55487962702900939</v>
      </c>
      <c r="U22" s="16">
        <v>-1.6061141638207092E-2</v>
      </c>
      <c r="V22" s="16">
        <v>2.9191572370329315E-2</v>
      </c>
      <c r="W22" s="16">
        <v>-1.6061141638207092E-2</v>
      </c>
      <c r="X22" s="16">
        <v>2.9191572370329315E-2</v>
      </c>
    </row>
    <row r="23" spans="1:25" x14ac:dyDescent="0.3">
      <c r="A23" s="5" t="s">
        <v>5</v>
      </c>
      <c r="B23" s="6" t="s">
        <v>6</v>
      </c>
      <c r="C23" s="7">
        <v>44235</v>
      </c>
      <c r="D23" s="8">
        <v>0</v>
      </c>
      <c r="E23" s="6">
        <v>11.5335</v>
      </c>
      <c r="F23" s="32">
        <v>1</v>
      </c>
      <c r="G23" s="32">
        <v>21</v>
      </c>
      <c r="H23" s="32">
        <f t="shared" si="0"/>
        <v>441</v>
      </c>
      <c r="I23" s="32">
        <f t="shared" si="1"/>
        <v>-0.14231483827328908</v>
      </c>
      <c r="J23" s="32">
        <f t="shared" si="2"/>
        <v>-0.98982144188093213</v>
      </c>
      <c r="K23" s="32">
        <f t="shared" si="3"/>
        <v>0.41541501300188616</v>
      </c>
      <c r="L23" s="32">
        <f t="shared" si="4"/>
        <v>-0.90963199535451844</v>
      </c>
      <c r="M23" s="32">
        <f t="shared" si="5"/>
        <v>-0.14231483827328475</v>
      </c>
      <c r="N23" s="32">
        <f t="shared" si="6"/>
        <v>0.9898214418809328</v>
      </c>
      <c r="O23" s="32">
        <f t="shared" si="7"/>
        <v>11.54123348532984</v>
      </c>
      <c r="P23" s="16" t="s">
        <v>44</v>
      </c>
      <c r="Q23" s="16">
        <v>2.9143441717998139E-2</v>
      </c>
      <c r="R23" s="16">
        <v>1.1013464548333745E-2</v>
      </c>
      <c r="S23" s="16">
        <v>2.6461647549777898</v>
      </c>
      <c r="T23" s="16">
        <v>1.4143215841984464E-2</v>
      </c>
      <c r="U23" s="16">
        <v>6.4127680781508704E-3</v>
      </c>
      <c r="V23" s="16">
        <v>5.1874115357845405E-2</v>
      </c>
      <c r="W23" s="16">
        <v>6.4127680781508704E-3</v>
      </c>
      <c r="X23" s="16">
        <v>5.1874115357845405E-2</v>
      </c>
    </row>
    <row r="24" spans="1:25" x14ac:dyDescent="0.3">
      <c r="A24" s="5" t="s">
        <v>5</v>
      </c>
      <c r="B24" s="6" t="s">
        <v>6</v>
      </c>
      <c r="C24" s="7">
        <v>44236</v>
      </c>
      <c r="D24" s="8">
        <v>0</v>
      </c>
      <c r="E24" s="6">
        <v>11.54</v>
      </c>
      <c r="F24" s="32">
        <v>1</v>
      </c>
      <c r="G24" s="32">
        <v>22</v>
      </c>
      <c r="H24" s="32">
        <f t="shared" si="0"/>
        <v>484</v>
      </c>
      <c r="I24" s="32">
        <f t="shared" si="1"/>
        <v>1</v>
      </c>
      <c r="J24" s="32">
        <f t="shared" si="2"/>
        <v>-1.470178145890344E-15</v>
      </c>
      <c r="K24" s="32">
        <f t="shared" si="3"/>
        <v>1</v>
      </c>
      <c r="L24" s="32">
        <f t="shared" si="4"/>
        <v>-9.8011876392689601E-16</v>
      </c>
      <c r="M24" s="32">
        <f t="shared" si="5"/>
        <v>-0.49999999999999922</v>
      </c>
      <c r="N24" s="32">
        <f t="shared" si="6"/>
        <v>0.86602540378443915</v>
      </c>
      <c r="O24" s="32">
        <f t="shared" si="7"/>
        <v>11.53834780880698</v>
      </c>
      <c r="P24" s="16" t="s">
        <v>45</v>
      </c>
      <c r="Q24" s="16">
        <v>0.1351561477605529</v>
      </c>
      <c r="R24" s="16">
        <v>1.1275110998504931E-2</v>
      </c>
      <c r="S24" s="16">
        <v>11.987123477407405</v>
      </c>
      <c r="T24" s="16">
        <v>1.2779554498192368E-11</v>
      </c>
      <c r="U24" s="16">
        <v>0.11188546238854225</v>
      </c>
      <c r="V24" s="16">
        <v>0.15842683313256356</v>
      </c>
      <c r="W24" s="16">
        <v>0.11188546238854225</v>
      </c>
      <c r="X24" s="16">
        <v>0.15842683313256356</v>
      </c>
    </row>
    <row r="25" spans="1:25" ht="15" thickBot="1" x14ac:dyDescent="0.35">
      <c r="A25" s="5" t="s">
        <v>5</v>
      </c>
      <c r="B25" s="6" t="s">
        <v>6</v>
      </c>
      <c r="C25" s="7">
        <v>44237</v>
      </c>
      <c r="D25" s="8">
        <v>0</v>
      </c>
      <c r="E25" s="6">
        <v>11.5082</v>
      </c>
      <c r="F25" s="32">
        <v>1</v>
      </c>
      <c r="G25" s="32">
        <v>23</v>
      </c>
      <c r="H25" s="32">
        <f t="shared" si="0"/>
        <v>529</v>
      </c>
      <c r="I25" s="32">
        <f t="shared" si="1"/>
        <v>-0.14231483827327915</v>
      </c>
      <c r="J25" s="32">
        <f t="shared" si="2"/>
        <v>0.98982144188093357</v>
      </c>
      <c r="K25" s="32">
        <f t="shared" si="3"/>
        <v>0.41541501300188793</v>
      </c>
      <c r="L25" s="32">
        <f t="shared" si="4"/>
        <v>0.90963199535451766</v>
      </c>
      <c r="M25" s="32">
        <f t="shared" si="5"/>
        <v>-0.78605309474278717</v>
      </c>
      <c r="N25" s="32">
        <f t="shared" si="6"/>
        <v>0.61815898622060561</v>
      </c>
      <c r="O25" s="32">
        <f t="shared" si="7"/>
        <v>11.476390010365899</v>
      </c>
      <c r="P25" s="17" t="s">
        <v>46</v>
      </c>
      <c r="Q25" s="17">
        <v>-2.8273756482871313E-2</v>
      </c>
      <c r="R25" s="17">
        <v>1.1885001973740181E-2</v>
      </c>
      <c r="S25" s="17">
        <v>-2.3789441975139725</v>
      </c>
      <c r="T25" s="17">
        <v>2.5664013795869224E-2</v>
      </c>
      <c r="U25" s="17">
        <v>-5.2803194961419914E-2</v>
      </c>
      <c r="V25" s="17">
        <v>-3.7443180043227088E-3</v>
      </c>
      <c r="W25" s="17">
        <v>-5.2803194961419914E-2</v>
      </c>
      <c r="X25" s="17">
        <v>-3.7443180043227088E-3</v>
      </c>
    </row>
    <row r="26" spans="1:25" x14ac:dyDescent="0.3">
      <c r="A26" s="5" t="s">
        <v>5</v>
      </c>
      <c r="B26" s="6" t="s">
        <v>6</v>
      </c>
      <c r="C26" s="7">
        <v>44245</v>
      </c>
      <c r="D26" s="8">
        <v>0</v>
      </c>
      <c r="E26" s="6">
        <v>11.42</v>
      </c>
      <c r="F26" s="32">
        <v>1</v>
      </c>
      <c r="G26" s="32">
        <v>24</v>
      </c>
      <c r="H26" s="32">
        <f t="shared" si="0"/>
        <v>576</v>
      </c>
      <c r="I26" s="32">
        <f t="shared" si="1"/>
        <v>-0.95949297361449837</v>
      </c>
      <c r="J26" s="32">
        <f t="shared" si="2"/>
        <v>-0.28173255684142628</v>
      </c>
      <c r="K26" s="32">
        <f t="shared" si="3"/>
        <v>-0.65486073394528332</v>
      </c>
      <c r="L26" s="32">
        <f t="shared" si="4"/>
        <v>0.75574957435425982</v>
      </c>
      <c r="M26" s="32">
        <f t="shared" si="5"/>
        <v>-0.95949297361449737</v>
      </c>
      <c r="N26" s="32">
        <f t="shared" si="6"/>
        <v>0.28173255684142989</v>
      </c>
      <c r="O26" s="32">
        <f t="shared" si="7"/>
        <v>11.419879051575402</v>
      </c>
    </row>
    <row r="27" spans="1:25" ht="15" thickBot="1" x14ac:dyDescent="0.35">
      <c r="A27" s="5" t="s">
        <v>5</v>
      </c>
      <c r="B27" s="6" t="s">
        <v>6</v>
      </c>
      <c r="C27" s="7">
        <v>44246</v>
      </c>
      <c r="D27" s="8">
        <v>0</v>
      </c>
      <c r="E27" s="6">
        <v>11.473100000000001</v>
      </c>
      <c r="F27" s="32">
        <v>1</v>
      </c>
      <c r="G27" s="32">
        <v>25</v>
      </c>
      <c r="H27" s="32">
        <f t="shared" si="0"/>
        <v>625</v>
      </c>
      <c r="I27" s="32">
        <f t="shared" si="1"/>
        <v>0.41541501300188549</v>
      </c>
      <c r="J27" s="32">
        <f t="shared" si="2"/>
        <v>-0.90963199535451877</v>
      </c>
      <c r="K27" s="32">
        <f t="shared" si="3"/>
        <v>-0.95949297361449726</v>
      </c>
      <c r="L27" s="32">
        <f t="shared" si="4"/>
        <v>-0.28173255684143017</v>
      </c>
      <c r="M27" s="32">
        <f t="shared" si="5"/>
        <v>-0.99547192257308459</v>
      </c>
      <c r="N27" s="32">
        <f t="shared" si="6"/>
        <v>-9.5056043304182825E-2</v>
      </c>
      <c r="O27" s="32">
        <f t="shared" si="7"/>
        <v>11.414807922140248</v>
      </c>
      <c r="P27" t="s">
        <v>95</v>
      </c>
      <c r="Q27" s="16">
        <v>11.275247165548743</v>
      </c>
      <c r="R27" s="16">
        <v>4.3049148588958634E-2</v>
      </c>
      <c r="S27" s="16">
        <v>-1.2926034656807635E-3</v>
      </c>
      <c r="T27" s="16">
        <v>2.7138101579435133E-2</v>
      </c>
      <c r="U27" s="16">
        <v>-6.928215291752862E-3</v>
      </c>
      <c r="V27" s="16">
        <v>6.5652153660611112E-3</v>
      </c>
      <c r="W27" s="16">
        <v>2.9143441717998139E-2</v>
      </c>
      <c r="X27" s="16">
        <v>0.1351561477605529</v>
      </c>
      <c r="Y27" s="17">
        <v>-2.8273756482871313E-2</v>
      </c>
    </row>
    <row r="28" spans="1:25" x14ac:dyDescent="0.3">
      <c r="A28" s="5" t="s">
        <v>5</v>
      </c>
      <c r="B28" s="6" t="s">
        <v>6</v>
      </c>
      <c r="C28" s="7">
        <v>44251</v>
      </c>
      <c r="D28" s="8">
        <v>0</v>
      </c>
      <c r="E28" s="6">
        <v>11.427</v>
      </c>
      <c r="F28" s="32">
        <v>1</v>
      </c>
      <c r="G28" s="32">
        <v>26</v>
      </c>
      <c r="H28" s="32">
        <f t="shared" si="0"/>
        <v>676</v>
      </c>
      <c r="I28" s="32">
        <f t="shared" si="1"/>
        <v>0.8412535328311842</v>
      </c>
      <c r="J28" s="32">
        <f t="shared" si="2"/>
        <v>0.54064081745559289</v>
      </c>
      <c r="K28" s="32">
        <f t="shared" si="3"/>
        <v>-0.14231483827328534</v>
      </c>
      <c r="L28" s="32">
        <f t="shared" si="4"/>
        <v>-0.98982144188093268</v>
      </c>
      <c r="M28" s="32">
        <f t="shared" si="5"/>
        <v>-0.88883544865492403</v>
      </c>
      <c r="N28" s="32">
        <f t="shared" si="6"/>
        <v>-0.4582265217274093</v>
      </c>
      <c r="O28" s="32">
        <f t="shared" si="7"/>
        <v>11.402852512701024</v>
      </c>
    </row>
    <row r="29" spans="1:25" x14ac:dyDescent="0.3">
      <c r="A29" s="5" t="s">
        <v>5</v>
      </c>
      <c r="B29" s="6" t="s">
        <v>6</v>
      </c>
      <c r="C29" s="7">
        <v>44252</v>
      </c>
      <c r="D29" s="8">
        <v>0</v>
      </c>
      <c r="E29" s="6">
        <v>11.4198</v>
      </c>
      <c r="F29" s="32">
        <v>1</v>
      </c>
      <c r="G29" s="32">
        <v>27</v>
      </c>
      <c r="H29" s="32">
        <f t="shared" si="0"/>
        <v>729</v>
      </c>
      <c r="I29" s="32">
        <f t="shared" si="1"/>
        <v>-0.65486073394528277</v>
      </c>
      <c r="J29" s="32">
        <f t="shared" si="2"/>
        <v>0.75574957435426027</v>
      </c>
      <c r="K29" s="32">
        <f t="shared" si="3"/>
        <v>0.84125353283118065</v>
      </c>
      <c r="L29" s="32">
        <f t="shared" si="4"/>
        <v>-0.54064081745559833</v>
      </c>
      <c r="M29" s="32">
        <f t="shared" si="5"/>
        <v>-0.65486073394528577</v>
      </c>
      <c r="N29" s="32">
        <f t="shared" si="6"/>
        <v>-0.75574957435425771</v>
      </c>
      <c r="O29" s="32">
        <f t="shared" si="7"/>
        <v>11.394884879867622</v>
      </c>
      <c r="P29" t="s">
        <v>36</v>
      </c>
    </row>
    <row r="30" spans="1:25" ht="15" thickBot="1" x14ac:dyDescent="0.35">
      <c r="A30" s="5" t="s">
        <v>5</v>
      </c>
      <c r="B30" s="6" t="s">
        <v>6</v>
      </c>
      <c r="C30" s="7">
        <v>44253</v>
      </c>
      <c r="D30" s="8">
        <v>0</v>
      </c>
      <c r="E30" s="6">
        <v>11.493</v>
      </c>
      <c r="F30" s="32">
        <v>1</v>
      </c>
      <c r="G30" s="32">
        <v>28</v>
      </c>
      <c r="H30" s="32">
        <f t="shared" si="0"/>
        <v>784</v>
      </c>
      <c r="I30" s="32">
        <f t="shared" si="1"/>
        <v>-0.65486073394528554</v>
      </c>
      <c r="J30" s="32">
        <f t="shared" si="2"/>
        <v>-0.75574957435425794</v>
      </c>
      <c r="K30" s="32">
        <f t="shared" si="3"/>
        <v>0.84125353283118198</v>
      </c>
      <c r="L30" s="32">
        <f t="shared" si="4"/>
        <v>0.54064081745559622</v>
      </c>
      <c r="M30" s="32">
        <f t="shared" si="5"/>
        <v>-0.32706796331742211</v>
      </c>
      <c r="N30" s="32">
        <f t="shared" si="6"/>
        <v>-0.94500081871466834</v>
      </c>
      <c r="O30" s="32">
        <f t="shared" si="7"/>
        <v>11.458479149406418</v>
      </c>
    </row>
    <row r="31" spans="1:25" x14ac:dyDescent="0.3">
      <c r="A31" s="5" t="s">
        <v>5</v>
      </c>
      <c r="B31" s="6" t="s">
        <v>6</v>
      </c>
      <c r="C31" s="7">
        <v>44256</v>
      </c>
      <c r="D31" s="8">
        <v>0</v>
      </c>
      <c r="E31" s="6">
        <v>11.4595</v>
      </c>
      <c r="F31" s="32">
        <v>1</v>
      </c>
      <c r="G31" s="32">
        <v>29</v>
      </c>
      <c r="H31" s="32">
        <f t="shared" si="0"/>
        <v>841</v>
      </c>
      <c r="I31" s="32">
        <f t="shared" si="1"/>
        <v>0.84125353283117843</v>
      </c>
      <c r="J31" s="32">
        <f t="shared" si="2"/>
        <v>-0.54064081745560189</v>
      </c>
      <c r="K31" s="32">
        <f t="shared" si="3"/>
        <v>-0.14231483827328642</v>
      </c>
      <c r="L31" s="32">
        <f t="shared" si="4"/>
        <v>0.98982144188093257</v>
      </c>
      <c r="M31" s="32">
        <f t="shared" si="5"/>
        <v>4.7581915823742139E-2</v>
      </c>
      <c r="N31" s="32">
        <f t="shared" si="6"/>
        <v>-0.99886733918300796</v>
      </c>
      <c r="O31" s="32">
        <f t="shared" si="7"/>
        <v>11.525753856090082</v>
      </c>
      <c r="P31" s="18" t="s">
        <v>37</v>
      </c>
      <c r="Q31" s="18" t="s">
        <v>38</v>
      </c>
      <c r="R31" s="18" t="s">
        <v>39</v>
      </c>
      <c r="U31" s="21" t="s">
        <v>73</v>
      </c>
      <c r="V31" s="21" t="s">
        <v>80</v>
      </c>
    </row>
    <row r="32" spans="1:25" x14ac:dyDescent="0.3">
      <c r="A32" s="5" t="s">
        <v>5</v>
      </c>
      <c r="B32" s="6" t="s">
        <v>6</v>
      </c>
      <c r="C32" s="7">
        <v>44257</v>
      </c>
      <c r="D32" s="8">
        <v>0</v>
      </c>
      <c r="E32" s="6">
        <v>11.506</v>
      </c>
      <c r="F32" s="32">
        <v>1</v>
      </c>
      <c r="G32" s="32">
        <v>30</v>
      </c>
      <c r="H32" s="32">
        <f t="shared" si="0"/>
        <v>900</v>
      </c>
      <c r="I32" s="32">
        <f t="shared" si="1"/>
        <v>0.41541501300188882</v>
      </c>
      <c r="J32" s="32">
        <f t="shared" si="2"/>
        <v>0.90963199535451722</v>
      </c>
      <c r="K32" s="32">
        <f t="shared" si="3"/>
        <v>-0.95949297361449759</v>
      </c>
      <c r="L32" s="32">
        <f t="shared" si="4"/>
        <v>0.28173255684142912</v>
      </c>
      <c r="M32" s="32">
        <f t="shared" si="5"/>
        <v>0.41541501300188499</v>
      </c>
      <c r="N32" s="32">
        <f t="shared" si="6"/>
        <v>-0.909631995354519</v>
      </c>
      <c r="O32" s="32">
        <f t="shared" si="7"/>
        <v>11.492125937366486</v>
      </c>
      <c r="P32" s="16">
        <v>1</v>
      </c>
      <c r="Q32" s="16">
        <v>11.45048729591876</v>
      </c>
      <c r="R32" s="16">
        <v>3.4512704081238965E-2</v>
      </c>
      <c r="T32">
        <f>POWER($B$65-R32,2)</f>
        <v>1.1911267429992392E-3</v>
      </c>
      <c r="U32">
        <f>IF(T33&gt;T32,1)</f>
        <v>1</v>
      </c>
      <c r="V32">
        <f>R32*R32</f>
        <v>1.1911267429991687E-3</v>
      </c>
    </row>
    <row r="33" spans="1:22" x14ac:dyDescent="0.3">
      <c r="A33" s="5" t="s">
        <v>5</v>
      </c>
      <c r="B33" s="6" t="s">
        <v>6</v>
      </c>
      <c r="C33" s="7">
        <v>44258</v>
      </c>
      <c r="D33" s="8">
        <v>0</v>
      </c>
      <c r="E33" s="6">
        <v>11.3842</v>
      </c>
      <c r="F33" s="32">
        <v>1</v>
      </c>
      <c r="G33" s="32">
        <v>31</v>
      </c>
      <c r="H33" s="32">
        <f t="shared" si="0"/>
        <v>961</v>
      </c>
      <c r="I33" s="32">
        <f t="shared" si="1"/>
        <v>-0.95949297361449537</v>
      </c>
      <c r="J33" s="32">
        <f t="shared" si="2"/>
        <v>0.28173255684143667</v>
      </c>
      <c r="K33" s="32">
        <f t="shared" si="3"/>
        <v>-0.6548607339452851</v>
      </c>
      <c r="L33" s="32">
        <f t="shared" si="4"/>
        <v>-0.75574957435425827</v>
      </c>
      <c r="M33" s="32">
        <f t="shared" si="5"/>
        <v>0.72373403810506931</v>
      </c>
      <c r="N33" s="32">
        <f t="shared" si="6"/>
        <v>-0.69007901148211281</v>
      </c>
      <c r="O33" s="32">
        <f t="shared" si="7"/>
        <v>11.430591904787384</v>
      </c>
      <c r="P33" s="16">
        <v>2</v>
      </c>
      <c r="Q33" s="16">
        <v>11.428119955479078</v>
      </c>
      <c r="R33" s="16">
        <v>6.7880044520922667E-2</v>
      </c>
      <c r="T33">
        <f t="shared" ref="T33:T64" si="8">POWER($B$65-R33,2)</f>
        <v>4.6077004441625827E-3</v>
      </c>
      <c r="U33" t="b">
        <f t="shared" ref="U33:U63" si="9">IF(T34&gt;T33,1)</f>
        <v>0</v>
      </c>
      <c r="V33">
        <f t="shared" ref="V33:V46" si="10">R33*R33</f>
        <v>4.6077004441624431E-3</v>
      </c>
    </row>
    <row r="34" spans="1:22" x14ac:dyDescent="0.3">
      <c r="A34" s="5" t="s">
        <v>5</v>
      </c>
      <c r="B34" s="6" t="s">
        <v>6</v>
      </c>
      <c r="C34" s="7">
        <v>44259</v>
      </c>
      <c r="D34" s="8">
        <v>0</v>
      </c>
      <c r="E34" s="6">
        <v>11.4087</v>
      </c>
      <c r="F34" s="32">
        <v>1</v>
      </c>
      <c r="G34" s="32">
        <v>32</v>
      </c>
      <c r="H34" s="32">
        <f t="shared" si="0"/>
        <v>1024</v>
      </c>
      <c r="I34" s="32">
        <f t="shared" si="1"/>
        <v>-0.14231483827328981</v>
      </c>
      <c r="J34" s="32">
        <f t="shared" si="2"/>
        <v>-0.98982144188093202</v>
      </c>
      <c r="K34" s="32">
        <f t="shared" si="3"/>
        <v>0.41541501300188571</v>
      </c>
      <c r="L34" s="32">
        <f t="shared" si="4"/>
        <v>-0.90963199535451866</v>
      </c>
      <c r="M34" s="32">
        <f t="shared" si="5"/>
        <v>0.92836793301607234</v>
      </c>
      <c r="N34" s="32">
        <f t="shared" si="6"/>
        <v>-0.37166245566032829</v>
      </c>
      <c r="O34" s="32">
        <f t="shared" si="7"/>
        <v>11.444389922331998</v>
      </c>
      <c r="P34" s="16">
        <v>3</v>
      </c>
      <c r="Q34" s="16">
        <v>11.426254126234221</v>
      </c>
      <c r="R34" s="16">
        <v>-8.25412623422217E-3</v>
      </c>
      <c r="T34">
        <f t="shared" si="8"/>
        <v>6.813059989045777E-5</v>
      </c>
      <c r="U34">
        <f t="shared" si="9"/>
        <v>1</v>
      </c>
      <c r="V34">
        <f t="shared" si="10"/>
        <v>6.8130599890474657E-5</v>
      </c>
    </row>
    <row r="35" spans="1:22" ht="15" thickBot="1" x14ac:dyDescent="0.35">
      <c r="A35" s="10" t="s">
        <v>5</v>
      </c>
      <c r="B35" s="11" t="s">
        <v>6</v>
      </c>
      <c r="C35" s="12">
        <v>44260</v>
      </c>
      <c r="D35" s="13">
        <v>0</v>
      </c>
      <c r="E35" s="11">
        <v>11.473000000000001</v>
      </c>
      <c r="F35" s="32">
        <v>1</v>
      </c>
      <c r="G35" s="32">
        <v>33</v>
      </c>
      <c r="H35" s="32">
        <f t="shared" si="0"/>
        <v>1089</v>
      </c>
      <c r="I35" s="32">
        <f t="shared" si="1"/>
        <v>1</v>
      </c>
      <c r="J35" s="32">
        <f t="shared" si="2"/>
        <v>-2.205267218835516E-15</v>
      </c>
      <c r="K35" s="32">
        <f t="shared" si="3"/>
        <v>1</v>
      </c>
      <c r="L35" s="32">
        <f t="shared" si="4"/>
        <v>-1.470178145890344E-15</v>
      </c>
      <c r="M35" s="32">
        <f t="shared" si="5"/>
        <v>1</v>
      </c>
      <c r="N35" s="32">
        <f t="shared" si="6"/>
        <v>-4.90059381963448E-16</v>
      </c>
      <c r="O35" s="32">
        <f t="shared" si="7"/>
        <v>11.457083359564075</v>
      </c>
      <c r="P35" s="16">
        <v>4</v>
      </c>
      <c r="Q35" s="16">
        <v>11.394254577776197</v>
      </c>
      <c r="R35" s="16">
        <v>-2.425457777619755E-2</v>
      </c>
      <c r="T35">
        <f t="shared" si="8"/>
        <v>5.8828454310156644E-4</v>
      </c>
      <c r="U35" t="b">
        <f t="shared" si="9"/>
        <v>0</v>
      </c>
      <c r="V35">
        <f t="shared" si="10"/>
        <v>5.882845431016161E-4</v>
      </c>
    </row>
    <row r="36" spans="1:22" x14ac:dyDescent="0.3">
      <c r="C36" s="1">
        <v>44264</v>
      </c>
      <c r="E36">
        <v>11.3789</v>
      </c>
      <c r="F36">
        <v>1</v>
      </c>
      <c r="G36" s="33">
        <v>34</v>
      </c>
      <c r="H36" s="33">
        <f t="shared" si="0"/>
        <v>1156</v>
      </c>
      <c r="I36" s="33">
        <f t="shared" si="1"/>
        <v>-0.14231483827327843</v>
      </c>
      <c r="J36" s="33">
        <f t="shared" si="2"/>
        <v>0.98982144188093368</v>
      </c>
      <c r="K36" s="33">
        <f t="shared" si="3"/>
        <v>0.41541501300188838</v>
      </c>
      <c r="L36" s="33">
        <f>SIN($L$2*G36)</f>
        <v>0.90963199535451744</v>
      </c>
      <c r="M36" s="33">
        <f t="shared" si="5"/>
        <v>0.92836793301607268</v>
      </c>
      <c r="N36" s="33">
        <f t="shared" si="6"/>
        <v>0.37166245566032741</v>
      </c>
      <c r="O36" s="32">
        <f>$Q$27+$R$27*G36+$S$27*POWER(G36,2)+$T$27*I36+$U$27*J36+$V$27*K36+$W$27*L36+$X$27*M36+$Y$27*N36</f>
        <v>11.378152196493115</v>
      </c>
      <c r="P36" s="16">
        <v>5</v>
      </c>
      <c r="Q36" s="16">
        <v>11.354013056439832</v>
      </c>
      <c r="R36" s="16">
        <v>-4.0130564398328517E-3</v>
      </c>
      <c r="T36">
        <f t="shared" si="8"/>
        <v>1.6104621989275714E-5</v>
      </c>
      <c r="U36">
        <f t="shared" si="9"/>
        <v>1</v>
      </c>
      <c r="V36">
        <f t="shared" si="10"/>
        <v>1.6104621989283924E-5</v>
      </c>
    </row>
    <row r="37" spans="1:22" x14ac:dyDescent="0.3">
      <c r="C37" s="1">
        <v>44265</v>
      </c>
      <c r="E37">
        <v>11.3545</v>
      </c>
      <c r="F37">
        <v>1</v>
      </c>
      <c r="G37" s="33">
        <v>35</v>
      </c>
      <c r="H37" s="33">
        <f t="shared" si="0"/>
        <v>1225</v>
      </c>
      <c r="I37" s="33">
        <f t="shared" si="1"/>
        <v>-0.95949297361449859</v>
      </c>
      <c r="J37" s="33">
        <f t="shared" si="2"/>
        <v>-0.28173255684142562</v>
      </c>
      <c r="K37" s="33">
        <f t="shared" si="3"/>
        <v>-0.65486073394528288</v>
      </c>
      <c r="L37" s="33">
        <f t="shared" si="4"/>
        <v>0.75574957435426016</v>
      </c>
      <c r="M37" s="33">
        <f t="shared" si="5"/>
        <v>0.7237340381050712</v>
      </c>
      <c r="N37" s="33">
        <f t="shared" si="6"/>
        <v>0.69007901148211093</v>
      </c>
      <c r="O37" s="32">
        <f t="shared" si="7"/>
        <v>11.2704730273185</v>
      </c>
      <c r="P37" s="16">
        <v>6</v>
      </c>
      <c r="Q37" s="16">
        <v>11.385875462184938</v>
      </c>
      <c r="R37" s="16">
        <v>1.412453781506251E-2</v>
      </c>
      <c r="T37">
        <f t="shared" si="8"/>
        <v>1.9950256848915975E-4</v>
      </c>
      <c r="U37">
        <f t="shared" si="9"/>
        <v>1</v>
      </c>
      <c r="V37">
        <f t="shared" si="10"/>
        <v>1.9950256848913083E-4</v>
      </c>
    </row>
    <row r="38" spans="1:22" x14ac:dyDescent="0.3">
      <c r="A38" t="s">
        <v>11</v>
      </c>
      <c r="C38" s="1">
        <v>44266</v>
      </c>
      <c r="E38">
        <v>11.3165</v>
      </c>
      <c r="F38">
        <v>1</v>
      </c>
      <c r="G38" s="33">
        <v>36</v>
      </c>
      <c r="H38" s="33">
        <f t="shared" si="0"/>
        <v>1296</v>
      </c>
      <c r="I38" s="33">
        <f t="shared" si="1"/>
        <v>0.41541501300187839</v>
      </c>
      <c r="J38" s="33">
        <f t="shared" si="2"/>
        <v>-0.9096319953545221</v>
      </c>
      <c r="K38" s="33">
        <f t="shared" si="3"/>
        <v>-0.95949297361449837</v>
      </c>
      <c r="L38" s="33">
        <f t="shared" si="4"/>
        <v>-0.28173255684142628</v>
      </c>
      <c r="M38" s="33">
        <f t="shared" si="5"/>
        <v>0.41541501300188749</v>
      </c>
      <c r="N38" s="33">
        <f t="shared" si="6"/>
        <v>0.90963199535451789</v>
      </c>
      <c r="O38" s="32">
        <f t="shared" si="7"/>
        <v>11.183295369338715</v>
      </c>
      <c r="P38" s="16">
        <v>7</v>
      </c>
      <c r="Q38" s="16">
        <v>11.434654451277066</v>
      </c>
      <c r="R38" s="16">
        <v>-7.4654451277066158E-2</v>
      </c>
      <c r="T38">
        <f t="shared" si="8"/>
        <v>5.5732870954796915E-3</v>
      </c>
      <c r="U38" t="b">
        <f t="shared" si="9"/>
        <v>0</v>
      </c>
      <c r="V38">
        <f t="shared" si="10"/>
        <v>5.5732870954798451E-3</v>
      </c>
    </row>
    <row r="39" spans="1:22" ht="15" thickBot="1" x14ac:dyDescent="0.35">
      <c r="C39" s="1">
        <v>44267</v>
      </c>
      <c r="E39">
        <v>11.307399999999999</v>
      </c>
      <c r="F39">
        <v>1</v>
      </c>
      <c r="G39" s="33">
        <v>37</v>
      </c>
      <c r="H39" s="33">
        <f t="shared" si="0"/>
        <v>1369</v>
      </c>
      <c r="I39" s="33">
        <f t="shared" si="1"/>
        <v>0.84125353283118465</v>
      </c>
      <c r="J39" s="33">
        <f t="shared" si="2"/>
        <v>0.54064081745559223</v>
      </c>
      <c r="K39" s="33">
        <f t="shared" si="3"/>
        <v>-0.14231483827328933</v>
      </c>
      <c r="L39" s="33">
        <f t="shared" si="4"/>
        <v>-0.98982144188093213</v>
      </c>
      <c r="M39" s="33">
        <f t="shared" si="5"/>
        <v>4.7581915823743118E-2</v>
      </c>
      <c r="N39" s="33">
        <f t="shared" si="6"/>
        <v>0.99886733918300796</v>
      </c>
      <c r="O39" s="32">
        <f t="shared" si="7"/>
        <v>11.065983992145757</v>
      </c>
      <c r="P39" s="16">
        <v>8</v>
      </c>
      <c r="Q39" s="16">
        <v>11.406564817634219</v>
      </c>
      <c r="R39" s="16">
        <v>-6.6564817634219509E-2</v>
      </c>
      <c r="T39">
        <f t="shared" si="8"/>
        <v>4.4308749466767635E-3</v>
      </c>
      <c r="U39" t="b">
        <f t="shared" si="9"/>
        <v>0</v>
      </c>
      <c r="V39">
        <f t="shared" si="10"/>
        <v>4.4308749466769005E-3</v>
      </c>
    </row>
    <row r="40" spans="1:22" x14ac:dyDescent="0.3">
      <c r="A40" s="19" t="s">
        <v>12</v>
      </c>
      <c r="B40" s="19"/>
      <c r="C40" s="1">
        <v>44270</v>
      </c>
      <c r="E40">
        <v>11.2334</v>
      </c>
      <c r="F40">
        <v>1</v>
      </c>
      <c r="G40" s="33">
        <v>38</v>
      </c>
      <c r="H40" s="33">
        <f t="shared" si="0"/>
        <v>1444</v>
      </c>
      <c r="I40" s="33">
        <f t="shared" si="1"/>
        <v>-0.65486073394528221</v>
      </c>
      <c r="J40" s="33">
        <f t="shared" si="2"/>
        <v>0.75574957435426082</v>
      </c>
      <c r="K40" s="33">
        <f t="shared" si="3"/>
        <v>0.84125353283118232</v>
      </c>
      <c r="L40" s="33">
        <f t="shared" si="4"/>
        <v>-0.54064081745559578</v>
      </c>
      <c r="M40" s="33">
        <f t="shared" si="5"/>
        <v>-0.32706796331742122</v>
      </c>
      <c r="N40" s="33">
        <f t="shared" si="6"/>
        <v>0.94500081871466868</v>
      </c>
      <c r="O40" s="32">
        <f t="shared" si="7"/>
        <v>10.940430642074464</v>
      </c>
      <c r="P40" s="16">
        <v>9</v>
      </c>
      <c r="Q40" s="16">
        <v>11.381957718699688</v>
      </c>
      <c r="R40" s="16">
        <v>-2.1957718699688655E-2</v>
      </c>
      <c r="T40">
        <f t="shared" si="8"/>
        <v>4.8214141049461188E-4</v>
      </c>
      <c r="U40" t="b">
        <f t="shared" si="9"/>
        <v>0</v>
      </c>
      <c r="V40">
        <f t="shared" si="10"/>
        <v>4.8214141049465682E-4</v>
      </c>
    </row>
    <row r="41" spans="1:22" x14ac:dyDescent="0.3">
      <c r="A41" s="16" t="s">
        <v>13</v>
      </c>
      <c r="B41" s="16">
        <v>0.6180790259380059</v>
      </c>
      <c r="C41" s="1">
        <v>44271</v>
      </c>
      <c r="E41">
        <v>11.226800000000001</v>
      </c>
      <c r="F41">
        <v>1</v>
      </c>
      <c r="G41" s="33">
        <v>39</v>
      </c>
      <c r="H41" s="33">
        <f t="shared" si="0"/>
        <v>1521</v>
      </c>
      <c r="I41" s="33">
        <f t="shared" si="1"/>
        <v>-0.65486073394529143</v>
      </c>
      <c r="J41" s="33">
        <f t="shared" si="2"/>
        <v>-0.75574957435425272</v>
      </c>
      <c r="K41" s="33">
        <f t="shared" si="3"/>
        <v>0.84125353283118032</v>
      </c>
      <c r="L41" s="33">
        <f t="shared" si="4"/>
        <v>0.54064081745559889</v>
      </c>
      <c r="M41" s="33">
        <f t="shared" si="5"/>
        <v>-0.65486073394528366</v>
      </c>
      <c r="N41" s="33">
        <f t="shared" si="6"/>
        <v>0.75574957435425949</v>
      </c>
      <c r="O41" s="32">
        <f t="shared" si="7"/>
        <v>10.886981219084642</v>
      </c>
      <c r="P41" s="16">
        <v>10</v>
      </c>
      <c r="Q41" s="16">
        <v>11.466929096791292</v>
      </c>
      <c r="R41" s="16">
        <v>3.0709032087088417E-3</v>
      </c>
      <c r="T41">
        <f t="shared" si="8"/>
        <v>9.4304465172645399E-6</v>
      </c>
      <c r="U41">
        <f t="shared" si="9"/>
        <v>1</v>
      </c>
      <c r="V41">
        <f t="shared" si="10"/>
        <v>9.4304465172582599E-6</v>
      </c>
    </row>
    <row r="42" spans="1:22" x14ac:dyDescent="0.3">
      <c r="A42" s="16" t="s">
        <v>14</v>
      </c>
      <c r="B42" s="16">
        <v>0.38202168230447414</v>
      </c>
      <c r="P42" s="16">
        <v>11</v>
      </c>
      <c r="Q42" s="16">
        <v>11.582993815119716</v>
      </c>
      <c r="R42" s="16">
        <v>1.1006184880283598E-2</v>
      </c>
      <c r="T42">
        <f t="shared" si="8"/>
        <v>1.2113610561900581E-4</v>
      </c>
      <c r="U42">
        <f t="shared" si="9"/>
        <v>1</v>
      </c>
      <c r="V42">
        <f t="shared" si="10"/>
        <v>1.2113610561898329E-4</v>
      </c>
    </row>
    <row r="43" spans="1:22" x14ac:dyDescent="0.3">
      <c r="A43" s="16" t="s">
        <v>15</v>
      </c>
      <c r="B43" s="16">
        <v>0.34082312779143908</v>
      </c>
      <c r="P43" s="16">
        <v>12</v>
      </c>
      <c r="Q43" s="16">
        <v>11.632970540138327</v>
      </c>
      <c r="R43" s="16">
        <v>3.1929459861672171E-2</v>
      </c>
      <c r="T43">
        <f t="shared" si="8"/>
        <v>1.0194904070581995E-3</v>
      </c>
      <c r="U43">
        <f t="shared" si="9"/>
        <v>1</v>
      </c>
      <c r="V43">
        <f t="shared" si="10"/>
        <v>1.0194904070581342E-3</v>
      </c>
    </row>
    <row r="44" spans="1:22" x14ac:dyDescent="0.3">
      <c r="A44" s="16" t="s">
        <v>16</v>
      </c>
      <c r="B44" s="16">
        <v>0.11053942814900695</v>
      </c>
      <c r="P44" s="16">
        <v>13</v>
      </c>
      <c r="Q44" s="16">
        <v>11.669416072605012</v>
      </c>
      <c r="R44" s="16">
        <v>-3.941607260501101E-2</v>
      </c>
      <c r="T44">
        <f t="shared" si="8"/>
        <v>1.5536267796034189E-3</v>
      </c>
      <c r="U44">
        <f t="shared" si="9"/>
        <v>1</v>
      </c>
      <c r="V44">
        <f t="shared" si="10"/>
        <v>1.5536267796034994E-3</v>
      </c>
    </row>
    <row r="45" spans="1:22" ht="15" thickBot="1" x14ac:dyDescent="0.35">
      <c r="A45" s="17" t="s">
        <v>17</v>
      </c>
      <c r="B45" s="17">
        <v>33</v>
      </c>
      <c r="P45" s="16">
        <v>14</v>
      </c>
      <c r="Q45" s="16">
        <v>11.729080112761521</v>
      </c>
      <c r="R45" s="16">
        <v>6.091988723847841E-2</v>
      </c>
      <c r="T45">
        <f t="shared" si="8"/>
        <v>3.7112326611490488E-3</v>
      </c>
      <c r="U45" t="b">
        <f t="shared" si="9"/>
        <v>0</v>
      </c>
      <c r="V45">
        <f t="shared" si="10"/>
        <v>3.7112326611489247E-3</v>
      </c>
    </row>
    <row r="46" spans="1:22" ht="15" thickBot="1" x14ac:dyDescent="0.35">
      <c r="B46" t="s">
        <v>18</v>
      </c>
      <c r="P46" s="16">
        <v>15</v>
      </c>
      <c r="Q46" s="16">
        <v>11.74843836499327</v>
      </c>
      <c r="R46" s="16">
        <v>4.0561635006730157E-2</v>
      </c>
      <c r="T46">
        <f t="shared" si="8"/>
        <v>1.6452462344192802E-3</v>
      </c>
      <c r="U46">
        <f t="shared" si="9"/>
        <v>1</v>
      </c>
      <c r="V46">
        <f t="shared" si="10"/>
        <v>1.6452462344191973E-3</v>
      </c>
    </row>
    <row r="47" spans="1:22" x14ac:dyDescent="0.3">
      <c r="B47" s="18"/>
      <c r="C47" s="18" t="s">
        <v>23</v>
      </c>
      <c r="D47" s="18" t="s">
        <v>24</v>
      </c>
      <c r="E47" s="18" t="s">
        <v>25</v>
      </c>
      <c r="F47" s="18" t="s">
        <v>26</v>
      </c>
      <c r="G47" s="18" t="s">
        <v>27</v>
      </c>
      <c r="P47" s="16">
        <v>16</v>
      </c>
      <c r="Q47" s="16">
        <v>11.737950803043139</v>
      </c>
      <c r="R47" s="16">
        <v>-7.17508030431393E-2</v>
      </c>
      <c r="T47">
        <f t="shared" si="8"/>
        <v>5.1481777373352201E-3</v>
      </c>
      <c r="U47" t="b">
        <f t="shared" si="9"/>
        <v>0</v>
      </c>
    </row>
    <row r="48" spans="1:22" x14ac:dyDescent="0.3">
      <c r="B48" s="16" t="s">
        <v>19</v>
      </c>
      <c r="C48" s="16">
        <v>2</v>
      </c>
      <c r="D48" s="16">
        <v>0.22660550534077617</v>
      </c>
      <c r="E48" s="16">
        <v>0.11330275267038808</v>
      </c>
      <c r="F48" s="16">
        <v>9.2726962588846167</v>
      </c>
      <c r="G48" s="16">
        <v>7.3214747067361493E-4</v>
      </c>
      <c r="P48" s="16">
        <v>17</v>
      </c>
      <c r="Q48" s="16">
        <v>11.769626609893711</v>
      </c>
      <c r="R48" s="16">
        <v>-3.0026609893711864E-2</v>
      </c>
      <c r="T48">
        <f t="shared" si="8"/>
        <v>9.0159730170909376E-4</v>
      </c>
      <c r="U48" t="b">
        <f t="shared" si="9"/>
        <v>0</v>
      </c>
    </row>
    <row r="49" spans="1:22" x14ac:dyDescent="0.3">
      <c r="B49" s="16" t="s">
        <v>20</v>
      </c>
      <c r="C49" s="16">
        <v>30</v>
      </c>
      <c r="D49" s="16">
        <v>0.3665689552652841</v>
      </c>
      <c r="E49" s="16">
        <v>1.221896517550947E-2</v>
      </c>
      <c r="F49" s="16"/>
      <c r="G49" s="16"/>
      <c r="P49" s="16">
        <v>18</v>
      </c>
      <c r="Q49" s="16">
        <v>11.784231132985912</v>
      </c>
      <c r="R49" s="16">
        <v>1.0768867014087746E-2</v>
      </c>
      <c r="T49">
        <f t="shared" si="8"/>
        <v>1.1596849676712918E-4</v>
      </c>
      <c r="U49" t="b">
        <f t="shared" si="9"/>
        <v>0</v>
      </c>
    </row>
    <row r="50" spans="1:22" ht="15" thickBot="1" x14ac:dyDescent="0.35">
      <c r="B50" s="17" t="s">
        <v>21</v>
      </c>
      <c r="C50" s="17">
        <v>32</v>
      </c>
      <c r="D50" s="17">
        <v>0.59317446060606027</v>
      </c>
      <c r="E50" s="17"/>
      <c r="F50" s="17"/>
      <c r="G50" s="17"/>
      <c r="P50" s="16">
        <v>19</v>
      </c>
      <c r="Q50" s="16">
        <v>11.688801099759417</v>
      </c>
      <c r="R50" s="16">
        <v>-8.8010997594167861E-3</v>
      </c>
      <c r="T50">
        <f t="shared" si="8"/>
        <v>7.7459356975188197E-5</v>
      </c>
      <c r="U50">
        <f t="shared" si="9"/>
        <v>1</v>
      </c>
      <c r="V50">
        <f t="shared" ref="V50:V63" si="11">R50*R50</f>
        <v>7.7459356975206209E-5</v>
      </c>
    </row>
    <row r="51" spans="1:22" ht="15" thickBot="1" x14ac:dyDescent="0.35">
      <c r="P51" s="16">
        <v>20</v>
      </c>
      <c r="Q51" s="16">
        <v>11.569261089931254</v>
      </c>
      <c r="R51" s="16">
        <v>2.5738910068746179E-2</v>
      </c>
      <c r="T51">
        <f t="shared" si="8"/>
        <v>6.6249149152705611E-4</v>
      </c>
      <c r="U51" t="b">
        <f t="shared" si="9"/>
        <v>0</v>
      </c>
      <c r="V51">
        <f t="shared" si="11"/>
        <v>6.6249149152700342E-4</v>
      </c>
    </row>
    <row r="52" spans="1:22" x14ac:dyDescent="0.3">
      <c r="B52" s="18"/>
      <c r="C52" s="18" t="s">
        <v>28</v>
      </c>
      <c r="D52" s="18" t="s">
        <v>16</v>
      </c>
      <c r="E52" s="18" t="s">
        <v>29</v>
      </c>
      <c r="F52" s="18" t="s">
        <v>30</v>
      </c>
      <c r="G52" s="18" t="s">
        <v>31</v>
      </c>
      <c r="H52" s="18" t="s">
        <v>32</v>
      </c>
      <c r="I52" s="18" t="s">
        <v>33</v>
      </c>
      <c r="J52" s="18" t="s">
        <v>34</v>
      </c>
      <c r="P52" s="16">
        <v>21</v>
      </c>
      <c r="Q52" s="16">
        <v>11.54123348532984</v>
      </c>
      <c r="R52" s="16">
        <v>-7.7334853298403061E-3</v>
      </c>
      <c r="T52">
        <f t="shared" si="8"/>
        <v>5.980679534683941E-5</v>
      </c>
      <c r="U52" t="b">
        <f t="shared" si="9"/>
        <v>0</v>
      </c>
      <c r="V52">
        <f t="shared" si="11"/>
        <v>5.9806795346855226E-5</v>
      </c>
    </row>
    <row r="53" spans="1:22" x14ac:dyDescent="0.3">
      <c r="B53" s="16" t="s">
        <v>22</v>
      </c>
      <c r="C53" s="16">
        <v>11.303294501466276</v>
      </c>
      <c r="D53" s="16">
        <v>6.1411693861030042E-2</v>
      </c>
      <c r="E53" s="16">
        <v>184.05768984396954</v>
      </c>
      <c r="F53" s="16">
        <v>2.3034283075591162E-47</v>
      </c>
      <c r="G53" s="16">
        <v>11.177875090599091</v>
      </c>
      <c r="H53" s="16">
        <v>11.42871391233346</v>
      </c>
      <c r="I53" s="16">
        <v>11.177875090599091</v>
      </c>
      <c r="J53" s="16">
        <v>11.42871391233346</v>
      </c>
      <c r="P53" s="16">
        <v>22</v>
      </c>
      <c r="Q53" s="16">
        <v>11.53834780880698</v>
      </c>
      <c r="R53" s="16">
        <v>1.6521911930187372E-3</v>
      </c>
      <c r="T53">
        <f t="shared" si="8"/>
        <v>2.7297357382920579E-6</v>
      </c>
      <c r="U53">
        <f t="shared" si="9"/>
        <v>1</v>
      </c>
      <c r="V53">
        <f t="shared" si="11"/>
        <v>2.7297357382886779E-6</v>
      </c>
    </row>
    <row r="54" spans="1:22" x14ac:dyDescent="0.3">
      <c r="B54" s="16" t="s">
        <v>35</v>
      </c>
      <c r="C54" s="16">
        <v>3.5325130917469728E-2</v>
      </c>
      <c r="D54" s="16">
        <v>8.3277043431259894E-3</v>
      </c>
      <c r="E54" s="16">
        <v>4.2418810108968943</v>
      </c>
      <c r="F54" s="16">
        <v>1.9566063721096472E-4</v>
      </c>
      <c r="G54" s="16">
        <v>1.831768971328333E-2</v>
      </c>
      <c r="H54" s="16">
        <v>5.2332572121656123E-2</v>
      </c>
      <c r="I54" s="16">
        <v>1.831768971328333E-2</v>
      </c>
      <c r="J54" s="16">
        <v>5.2332572121656123E-2</v>
      </c>
      <c r="P54" s="16">
        <v>23</v>
      </c>
      <c r="Q54" s="16">
        <v>11.476390010365899</v>
      </c>
      <c r="R54" s="16">
        <v>3.1809989634101754E-2</v>
      </c>
      <c r="T54">
        <f t="shared" si="8"/>
        <v>1.0118754405217258E-3</v>
      </c>
      <c r="U54" t="b">
        <f t="shared" si="9"/>
        <v>0</v>
      </c>
      <c r="V54">
        <f t="shared" si="11"/>
        <v>1.011875440521661E-3</v>
      </c>
    </row>
    <row r="55" spans="1:22" ht="15" thickBot="1" x14ac:dyDescent="0.35">
      <c r="B55" s="16" t="s">
        <v>40</v>
      </c>
      <c r="C55" s="16">
        <v>-1.020625508267825E-3</v>
      </c>
      <c r="D55" s="16">
        <v>2.3761134867727359E-4</v>
      </c>
      <c r="E55" s="16">
        <v>-4.2953567409528493</v>
      </c>
      <c r="F55" s="16">
        <v>1.6861713010205969E-4</v>
      </c>
      <c r="G55" s="16">
        <v>-1.5058926209760104E-3</v>
      </c>
      <c r="H55" s="16">
        <v>-5.3535839555963961E-4</v>
      </c>
      <c r="I55" s="16">
        <v>-1.5058926209760104E-3</v>
      </c>
      <c r="J55" s="16">
        <v>-5.3535839555963961E-4</v>
      </c>
      <c r="P55" s="16">
        <v>24</v>
      </c>
      <c r="Q55" s="16">
        <v>11.419879051575402</v>
      </c>
      <c r="R55" s="16">
        <v>1.2094842459831057E-4</v>
      </c>
      <c r="T55">
        <f t="shared" si="8"/>
        <v>1.4628521413060617E-8</v>
      </c>
      <c r="U55">
        <f t="shared" si="9"/>
        <v>1</v>
      </c>
      <c r="V55">
        <f t="shared" si="11"/>
        <v>1.4628521412813216E-8</v>
      </c>
    </row>
    <row r="56" spans="1:22" ht="15" thickBot="1" x14ac:dyDescent="0.35">
      <c r="A56" s="34" t="s">
        <v>49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6"/>
      <c r="P56" s="16">
        <v>25</v>
      </c>
      <c r="Q56" s="16">
        <v>11.414807922140248</v>
      </c>
      <c r="R56" s="16">
        <v>5.8292077859752212E-2</v>
      </c>
      <c r="T56">
        <f t="shared" si="8"/>
        <v>3.3979663412075328E-3</v>
      </c>
      <c r="U56" t="b">
        <f t="shared" si="9"/>
        <v>0</v>
      </c>
      <c r="V56">
        <f t="shared" si="11"/>
        <v>3.397966341207414E-3</v>
      </c>
    </row>
    <row r="57" spans="1:22" ht="15" thickBot="1" x14ac:dyDescent="0.35">
      <c r="A57" s="22" t="s">
        <v>50</v>
      </c>
      <c r="B57" s="23">
        <f>MIN(R32:R64)</f>
        <v>-7.4654451277066158E-2</v>
      </c>
      <c r="C57" s="2" t="s">
        <v>51</v>
      </c>
      <c r="D57" s="4">
        <f>MAX(R32:R64)</f>
        <v>6.7880044520922667E-2</v>
      </c>
      <c r="E57" s="2" t="s">
        <v>52</v>
      </c>
      <c r="F57" s="4">
        <f>1+INT(LOG(33,2))</f>
        <v>6</v>
      </c>
      <c r="P57" s="16">
        <v>26</v>
      </c>
      <c r="Q57" s="16">
        <v>11.402852512701024</v>
      </c>
      <c r="R57" s="16">
        <v>2.4147487298975534E-2</v>
      </c>
      <c r="T57">
        <f t="shared" si="8"/>
        <v>5.8310114285423412E-4</v>
      </c>
      <c r="U57">
        <f t="shared" si="9"/>
        <v>1</v>
      </c>
      <c r="V57">
        <f t="shared" si="11"/>
        <v>5.8310114285418469E-4</v>
      </c>
    </row>
    <row r="58" spans="1:22" x14ac:dyDescent="0.3">
      <c r="A58" s="2" t="s">
        <v>53</v>
      </c>
      <c r="B58" s="4">
        <v>-7.4999999999999997E-2</v>
      </c>
      <c r="C58" s="2"/>
      <c r="D58" s="3"/>
      <c r="E58" s="3"/>
      <c r="F58" s="3"/>
      <c r="G58" s="3"/>
      <c r="H58" s="3"/>
      <c r="I58" s="4"/>
      <c r="P58" s="16">
        <v>27</v>
      </c>
      <c r="Q58" s="16">
        <v>11.394884879867622</v>
      </c>
      <c r="R58" s="16">
        <v>2.4915120132378732E-2</v>
      </c>
      <c r="T58">
        <f t="shared" si="8"/>
        <v>6.2076321121091495E-4</v>
      </c>
      <c r="U58">
        <f t="shared" si="9"/>
        <v>1</v>
      </c>
      <c r="V58">
        <f t="shared" si="11"/>
        <v>6.2076321121086399E-4</v>
      </c>
    </row>
    <row r="59" spans="1:22" ht="15" thickBot="1" x14ac:dyDescent="0.35">
      <c r="A59" s="5" t="s">
        <v>54</v>
      </c>
      <c r="B59" s="9">
        <v>6.8000000000000005E-2</v>
      </c>
      <c r="C59" s="10"/>
      <c r="D59" s="11"/>
      <c r="E59" s="11"/>
      <c r="F59" s="11"/>
      <c r="G59" s="11"/>
      <c r="H59" s="11"/>
      <c r="I59" s="14"/>
      <c r="P59" s="16">
        <v>28</v>
      </c>
      <c r="Q59" s="16">
        <v>11.458479149406418</v>
      </c>
      <c r="R59" s="16">
        <v>3.4520850593581898E-2</v>
      </c>
      <c r="T59">
        <f t="shared" si="8"/>
        <v>1.1916891257044741E-3</v>
      </c>
      <c r="U59">
        <f t="shared" si="9"/>
        <v>1</v>
      </c>
      <c r="V59">
        <f t="shared" si="11"/>
        <v>1.1916891257044036E-3</v>
      </c>
    </row>
    <row r="60" spans="1:22" ht="15" thickBot="1" x14ac:dyDescent="0.35">
      <c r="A60" s="10" t="s">
        <v>55</v>
      </c>
      <c r="B60" s="11">
        <f>(B59-B58)/F57</f>
        <v>2.3833333333333335E-2</v>
      </c>
      <c r="C60" s="2" t="s">
        <v>56</v>
      </c>
      <c r="D60" s="3" t="s">
        <v>97</v>
      </c>
      <c r="E60" s="3" t="s">
        <v>57</v>
      </c>
      <c r="F60" s="3" t="s">
        <v>96</v>
      </c>
      <c r="G60" s="3" t="s">
        <v>98</v>
      </c>
      <c r="H60" s="3" t="s">
        <v>58</v>
      </c>
      <c r="I60" s="4" t="s">
        <v>59</v>
      </c>
      <c r="P60" s="16">
        <v>29</v>
      </c>
      <c r="Q60" s="16">
        <v>11.525753856090082</v>
      </c>
      <c r="R60" s="16">
        <v>-6.6253856090082053E-2</v>
      </c>
      <c r="T60">
        <f t="shared" si="8"/>
        <v>4.3895734468051666E-3</v>
      </c>
      <c r="U60" t="b">
        <f t="shared" si="9"/>
        <v>0</v>
      </c>
      <c r="V60">
        <f t="shared" si="11"/>
        <v>4.3895734468053027E-3</v>
      </c>
    </row>
    <row r="61" spans="1:22" x14ac:dyDescent="0.3">
      <c r="C61" s="5" t="s">
        <v>48</v>
      </c>
      <c r="D61" s="6">
        <f>COUNTIFS($R$32:$R$64, "&lt;-0,043")</f>
        <v>5</v>
      </c>
      <c r="E61" s="6">
        <f>COUNTIFS($R$32:$R$64, "&gt;=-0,043",$R$32:$R$64, "&lt;-0,018")</f>
        <v>5</v>
      </c>
      <c r="F61" s="6">
        <f>COUNTIFS($R$32:$R$64, "&gt;=-0,018",$R$32:$R$64, "&lt;0,002")</f>
        <v>6</v>
      </c>
      <c r="G61" s="6">
        <f>COUNTIFS($R$32:$R$64, "&gt;=0,002",$R$32:$R$64, "&lt;0,02")</f>
        <v>6</v>
      </c>
      <c r="H61" s="6">
        <f>COUNTIFS($R$32:$R$64, "&gt;=0,02",$R$32:$R$64, "&lt;0,0333")</f>
        <v>5</v>
      </c>
      <c r="I61" s="9">
        <f>COUNTIFS($R$32:$R$64, "&gt;=0,0333",$R$32:$R$64, "&lt;0,071")</f>
        <v>6</v>
      </c>
      <c r="P61" s="16">
        <v>30</v>
      </c>
      <c r="Q61" s="16">
        <v>11.492125937366486</v>
      </c>
      <c r="R61" s="16">
        <v>1.3874062633513873E-2</v>
      </c>
      <c r="T61">
        <f t="shared" si="8"/>
        <v>1.924896139586943E-4</v>
      </c>
      <c r="U61">
        <f t="shared" si="9"/>
        <v>1</v>
      </c>
      <c r="V61">
        <f t="shared" si="11"/>
        <v>1.924896139586659E-4</v>
      </c>
    </row>
    <row r="62" spans="1:22" x14ac:dyDescent="0.3">
      <c r="C62" s="24" t="s">
        <v>60</v>
      </c>
      <c r="D62" s="6">
        <f>-0.1+((-0.043+0.1)/2)</f>
        <v>-7.1500000000000008E-2</v>
      </c>
      <c r="E62" s="6">
        <f>-0.043+((0.043-0.018)/2)</f>
        <v>-3.0499999999999999E-2</v>
      </c>
      <c r="F62" s="6">
        <f>-0.018+((0.018-0.002)/2)</f>
        <v>-9.9999999999999985E-3</v>
      </c>
      <c r="G62" s="6">
        <f>-0.002+(0.022/2)</f>
        <v>8.9999999999999993E-3</v>
      </c>
      <c r="H62" s="6">
        <f>0.02+(0.0333-0.02)/2</f>
        <v>2.665E-2</v>
      </c>
      <c r="I62" s="9">
        <f>0.0333+(0.071-0.0333)/2</f>
        <v>5.2150000000000002E-2</v>
      </c>
      <c r="P62" s="16">
        <v>31</v>
      </c>
      <c r="Q62" s="16">
        <v>11.430591904787384</v>
      </c>
      <c r="R62" s="16">
        <v>-4.6391904787384419E-2</v>
      </c>
      <c r="T62">
        <f t="shared" si="8"/>
        <v>2.1522088298016467E-3</v>
      </c>
      <c r="U62" t="b">
        <f t="shared" si="9"/>
        <v>0</v>
      </c>
      <c r="V62">
        <f t="shared" si="11"/>
        <v>2.1522088298017413E-3</v>
      </c>
    </row>
    <row r="63" spans="1:22" x14ac:dyDescent="0.3">
      <c r="C63" s="25" t="s">
        <v>61</v>
      </c>
      <c r="D63" s="6">
        <f>D61/33</f>
        <v>0.15151515151515152</v>
      </c>
      <c r="E63" s="6">
        <f t="shared" ref="E63:I63" si="12">E61/33</f>
        <v>0.15151515151515152</v>
      </c>
      <c r="F63" s="6">
        <f t="shared" si="12"/>
        <v>0.18181818181818182</v>
      </c>
      <c r="G63" s="6">
        <f t="shared" si="12"/>
        <v>0.18181818181818182</v>
      </c>
      <c r="H63" s="6">
        <f t="shared" si="12"/>
        <v>0.15151515151515152</v>
      </c>
      <c r="I63" s="9">
        <f t="shared" si="12"/>
        <v>0.18181818181818182</v>
      </c>
      <c r="P63" s="16">
        <v>32</v>
      </c>
      <c r="Q63" s="16">
        <v>11.444389922331998</v>
      </c>
      <c r="R63" s="16">
        <v>-3.5689922331998858E-2</v>
      </c>
      <c r="T63">
        <f t="shared" si="8"/>
        <v>1.2737705560640379E-3</v>
      </c>
      <c r="U63" t="b">
        <f t="shared" si="9"/>
        <v>0</v>
      </c>
      <c r="V63">
        <f t="shared" si="11"/>
        <v>1.2737705560641108E-3</v>
      </c>
    </row>
    <row r="64" spans="1:22" ht="15" thickBot="1" x14ac:dyDescent="0.35">
      <c r="C64" s="25" t="s">
        <v>62</v>
      </c>
      <c r="D64" s="6">
        <f>D63/(0.1-0.043)</f>
        <v>2.6581605528973946</v>
      </c>
      <c r="E64" s="6">
        <f>E63/(0.043-0.018)</f>
        <v>6.0606060606060614</v>
      </c>
      <c r="F64" s="6">
        <f>F63/(0.018-0.002)</f>
        <v>11.363636363636363</v>
      </c>
      <c r="G64" s="6">
        <f>G63/(0.022)</f>
        <v>8.2644628099173563</v>
      </c>
      <c r="H64" s="6">
        <f>H63/(0.0333-0.02)</f>
        <v>11.392116655274547</v>
      </c>
      <c r="I64" s="9">
        <f>I63/(0.071-0.0333)</f>
        <v>4.8227634434531002</v>
      </c>
      <c r="P64" s="17">
        <v>33</v>
      </c>
      <c r="Q64" s="17">
        <v>11.457083359564075</v>
      </c>
      <c r="R64" s="17">
        <v>1.5916640435925444E-2</v>
      </c>
      <c r="T64">
        <f t="shared" si="8"/>
        <v>2.533394427665695E-4</v>
      </c>
      <c r="V64">
        <f>R64*R64</f>
        <v>2.5333944276653692E-4</v>
      </c>
    </row>
    <row r="65" spans="1:19" ht="15" thickBot="1" x14ac:dyDescent="0.35">
      <c r="A65" t="s">
        <v>63</v>
      </c>
      <c r="B65">
        <f>AVERAGE(R32:R64)</f>
        <v>-1.0227509075334776E-15</v>
      </c>
      <c r="C65" s="26" t="s">
        <v>65</v>
      </c>
      <c r="D65" s="11">
        <f>_xlfn.NORM.DIST(D62,$B$65,$B$66,1)</f>
        <v>3.1395389421871291E-2</v>
      </c>
      <c r="E65" s="11">
        <f t="shared" ref="E65:I65" si="13">_xlfn.NORM.DIST(E62,$B$65,$B$66,1)</f>
        <v>0.21368143406751691</v>
      </c>
      <c r="F65" s="11">
        <f t="shared" si="13"/>
        <v>0.39734180148664422</v>
      </c>
      <c r="G65" s="11">
        <f t="shared" si="13"/>
        <v>0.59258911027034977</v>
      </c>
      <c r="H65" s="11">
        <f t="shared" si="13"/>
        <v>0.75600914199116609</v>
      </c>
      <c r="I65" s="11">
        <f t="shared" si="13"/>
        <v>0.91262815929900121</v>
      </c>
      <c r="P65" t="s">
        <v>52</v>
      </c>
      <c r="Q65" s="16">
        <v>33</v>
      </c>
    </row>
    <row r="66" spans="1:19" x14ac:dyDescent="0.3">
      <c r="A66" t="s">
        <v>64</v>
      </c>
      <c r="B66">
        <f>SQRT(SUM(T32:T64)/32)</f>
        <v>3.8427016172896178E-2</v>
      </c>
      <c r="C66" s="27" t="s">
        <v>66</v>
      </c>
      <c r="D66" s="28">
        <v>-7.4999999999999997E-2</v>
      </c>
      <c r="E66" s="28">
        <f>D67</f>
        <v>-4.2999999999999997E-2</v>
      </c>
      <c r="F66" s="28">
        <f t="shared" ref="F66:I66" si="14">E67</f>
        <v>-1.7999999999999999E-2</v>
      </c>
      <c r="G66" s="28">
        <f t="shared" si="14"/>
        <v>2E-3</v>
      </c>
      <c r="H66" s="28">
        <f t="shared" si="14"/>
        <v>0.02</v>
      </c>
      <c r="I66" s="28">
        <f t="shared" si="14"/>
        <v>3.3300000000000003E-2</v>
      </c>
      <c r="S66" s="16"/>
    </row>
    <row r="67" spans="1:19" ht="15" thickBot="1" x14ac:dyDescent="0.35">
      <c r="C67" s="27" t="s">
        <v>67</v>
      </c>
      <c r="D67" s="28">
        <v>-4.2999999999999997E-2</v>
      </c>
      <c r="E67" s="28">
        <v>-1.7999999999999999E-2</v>
      </c>
      <c r="F67" s="28">
        <v>2E-3</v>
      </c>
      <c r="G67" s="28">
        <v>0.02</v>
      </c>
      <c r="H67" s="28">
        <v>3.3300000000000003E-2</v>
      </c>
      <c r="I67" s="28">
        <v>7.0999999999999994E-2</v>
      </c>
      <c r="S67" s="16"/>
    </row>
    <row r="68" spans="1:19" x14ac:dyDescent="0.3">
      <c r="C68" s="29" t="s">
        <v>68</v>
      </c>
      <c r="D68" s="3">
        <f>_xlfn.NORM.DIST(D67,$B$65,$B$66,1)-_xlfn.NORM.DIST(D66,$B$65,$B$66,1)</f>
        <v>0.10608529538153294</v>
      </c>
      <c r="E68" s="3">
        <f t="shared" ref="E68:I68" si="15">_xlfn.NORM.DIST(E67,$B$65,$B$66,1)-_xlfn.NORM.DIST(E66,$B$65,$B$66,1)</f>
        <v>0.18817284330014186</v>
      </c>
      <c r="F68" s="3">
        <f t="shared" si="15"/>
        <v>0.20101228985901282</v>
      </c>
      <c r="G68" s="3">
        <f t="shared" si="15"/>
        <v>0.17787672956225897</v>
      </c>
      <c r="H68" s="3">
        <f t="shared" si="15"/>
        <v>0.10828232071173094</v>
      </c>
      <c r="I68" s="3">
        <f t="shared" si="15"/>
        <v>0.16076079831235068</v>
      </c>
      <c r="S68" s="16"/>
    </row>
    <row r="69" spans="1:19" x14ac:dyDescent="0.3">
      <c r="C69" s="24" t="s">
        <v>69</v>
      </c>
      <c r="D69" s="6">
        <f>D68*33</f>
        <v>3.5008147475905869</v>
      </c>
      <c r="E69" s="6">
        <f t="shared" ref="E69:I69" si="16">E68*33</f>
        <v>6.2097038289046811</v>
      </c>
      <c r="F69" s="6">
        <f t="shared" si="16"/>
        <v>6.6334055653474229</v>
      </c>
      <c r="G69" s="6">
        <f t="shared" si="16"/>
        <v>5.8699320755545461</v>
      </c>
      <c r="H69" s="6">
        <f t="shared" si="16"/>
        <v>3.573316583487121</v>
      </c>
      <c r="I69" s="9">
        <f t="shared" si="16"/>
        <v>5.305106344307573</v>
      </c>
      <c r="S69" s="16"/>
    </row>
    <row r="70" spans="1:19" x14ac:dyDescent="0.3">
      <c r="C70" s="24" t="s">
        <v>70</v>
      </c>
      <c r="D70" s="6">
        <f>((D69-D61)^2)/D69</f>
        <v>0.64200952723612181</v>
      </c>
      <c r="E70" s="6">
        <f t="shared" ref="E70:I70" si="17">((E69-E61)^2)/E69</f>
        <v>0.23566073261899345</v>
      </c>
      <c r="F70" s="6">
        <f t="shared" si="17"/>
        <v>6.0482146954642824E-2</v>
      </c>
      <c r="G70" s="6">
        <f t="shared" si="17"/>
        <v>2.8820887110435692E-3</v>
      </c>
      <c r="H70" s="6">
        <f t="shared" si="17"/>
        <v>0.56961803506548925</v>
      </c>
      <c r="I70" s="9">
        <f t="shared" si="17"/>
        <v>9.1021208884854279E-2</v>
      </c>
      <c r="S70" s="16"/>
    </row>
    <row r="71" spans="1:19" x14ac:dyDescent="0.3">
      <c r="C71" s="24" t="s">
        <v>71</v>
      </c>
      <c r="D71" s="6">
        <f>CHIINV(0.05, 3)</f>
        <v>7.8147279032511792</v>
      </c>
      <c r="E71" s="6"/>
      <c r="F71" s="6"/>
      <c r="G71" s="6"/>
      <c r="H71" s="6"/>
      <c r="I71" s="9"/>
      <c r="S71" s="16"/>
    </row>
    <row r="72" spans="1:19" ht="15" thickBot="1" x14ac:dyDescent="0.35">
      <c r="C72" s="26" t="s">
        <v>72</v>
      </c>
      <c r="D72" s="11">
        <f>SUM(D70:I70)</f>
        <v>1.6016737394711451</v>
      </c>
      <c r="E72" s="11"/>
      <c r="F72" s="11"/>
      <c r="G72" s="11"/>
      <c r="H72" s="11"/>
      <c r="I72" s="14"/>
      <c r="S72" s="16"/>
    </row>
    <row r="73" spans="1:19" x14ac:dyDescent="0.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1:19" x14ac:dyDescent="0.3">
      <c r="A74" t="s">
        <v>74</v>
      </c>
      <c r="B74">
        <f>SQRT((16*Q65-29)/90)</f>
        <v>2.3546644016599148</v>
      </c>
    </row>
    <row r="75" spans="1:19" x14ac:dyDescent="0.3">
      <c r="A75" t="s">
        <v>75</v>
      </c>
      <c r="B75">
        <f>(2*Q65-1)/3</f>
        <v>21.666666666666668</v>
      </c>
    </row>
    <row r="76" spans="1:19" x14ac:dyDescent="0.3">
      <c r="A76" t="s">
        <v>76</v>
      </c>
      <c r="B76">
        <f>B75-B77*B74</f>
        <v>17.051609243734681</v>
      </c>
    </row>
    <row r="77" spans="1:19" x14ac:dyDescent="0.3">
      <c r="A77" t="s">
        <v>77</v>
      </c>
      <c r="B77">
        <f>_xlfn.NORM.INV(1-0.05/2,0,1)</f>
        <v>1.9599639845400536</v>
      </c>
    </row>
    <row r="78" spans="1:19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</row>
    <row r="79" spans="1:19" x14ac:dyDescent="0.3">
      <c r="A79" t="s">
        <v>78</v>
      </c>
      <c r="B79">
        <f>SUM(V32:V42)</f>
        <v>1.7287719525419763E-2</v>
      </c>
    </row>
    <row r="80" spans="1:19" x14ac:dyDescent="0.3">
      <c r="A80" t="s">
        <v>79</v>
      </c>
      <c r="B80">
        <f>SUM(V54:V64)</f>
        <v>1.5066791779416297E-2</v>
      </c>
    </row>
    <row r="81" spans="1:34" x14ac:dyDescent="0.3">
      <c r="A81" s="30" t="s">
        <v>81</v>
      </c>
      <c r="B81">
        <f>B80/B79</f>
        <v>0.87153147974561784</v>
      </c>
    </row>
    <row r="83" spans="1:34" x14ac:dyDescent="0.3">
      <c r="A83" t="s">
        <v>47</v>
      </c>
      <c r="B83">
        <f>_xlfn.F.INV.RT(0.05,3,3)</f>
        <v>9.2766281531448112</v>
      </c>
    </row>
    <row r="84" spans="1:34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</row>
    <row r="85" spans="1:34" x14ac:dyDescent="0.3">
      <c r="A85" t="s">
        <v>82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34" x14ac:dyDescent="0.3"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  <c r="N86">
        <v>13</v>
      </c>
      <c r="O86">
        <v>14</v>
      </c>
      <c r="P86">
        <v>15</v>
      </c>
      <c r="Q86">
        <v>16</v>
      </c>
      <c r="R86">
        <v>17</v>
      </c>
      <c r="S86">
        <v>18</v>
      </c>
      <c r="T86">
        <v>19</v>
      </c>
      <c r="U86">
        <v>20</v>
      </c>
      <c r="V86">
        <v>21</v>
      </c>
      <c r="W86">
        <v>22</v>
      </c>
      <c r="X86">
        <v>23</v>
      </c>
      <c r="Y86">
        <v>24</v>
      </c>
      <c r="Z86">
        <v>25</v>
      </c>
      <c r="AA86">
        <v>26</v>
      </c>
      <c r="AB86">
        <v>27</v>
      </c>
      <c r="AC86">
        <v>28</v>
      </c>
      <c r="AD86">
        <v>29</v>
      </c>
      <c r="AE86">
        <v>30</v>
      </c>
      <c r="AF86">
        <v>31</v>
      </c>
      <c r="AG86">
        <v>32</v>
      </c>
      <c r="AH86">
        <v>33</v>
      </c>
    </row>
    <row r="87" spans="1:34" x14ac:dyDescent="0.3">
      <c r="B87">
        <f t="shared" ref="B77:AH87" si="18">B86*B86</f>
        <v>1</v>
      </c>
      <c r="C87">
        <f t="shared" si="18"/>
        <v>4</v>
      </c>
      <c r="D87">
        <f t="shared" si="18"/>
        <v>9</v>
      </c>
      <c r="E87">
        <f t="shared" si="18"/>
        <v>16</v>
      </c>
      <c r="F87">
        <f t="shared" si="18"/>
        <v>25</v>
      </c>
      <c r="G87">
        <f t="shared" si="18"/>
        <v>36</v>
      </c>
      <c r="H87">
        <f t="shared" si="18"/>
        <v>49</v>
      </c>
      <c r="I87">
        <f t="shared" si="18"/>
        <v>64</v>
      </c>
      <c r="J87">
        <f t="shared" si="18"/>
        <v>81</v>
      </c>
      <c r="K87">
        <f t="shared" si="18"/>
        <v>100</v>
      </c>
      <c r="L87">
        <f t="shared" si="18"/>
        <v>121</v>
      </c>
      <c r="M87">
        <f t="shared" si="18"/>
        <v>144</v>
      </c>
      <c r="N87">
        <f t="shared" si="18"/>
        <v>169</v>
      </c>
      <c r="O87">
        <f t="shared" si="18"/>
        <v>196</v>
      </c>
      <c r="P87">
        <f t="shared" si="18"/>
        <v>225</v>
      </c>
      <c r="Q87">
        <f t="shared" si="18"/>
        <v>256</v>
      </c>
      <c r="R87">
        <f t="shared" si="18"/>
        <v>289</v>
      </c>
      <c r="S87">
        <f t="shared" si="18"/>
        <v>324</v>
      </c>
      <c r="T87">
        <f t="shared" si="18"/>
        <v>361</v>
      </c>
      <c r="U87">
        <f t="shared" si="18"/>
        <v>400</v>
      </c>
      <c r="V87">
        <f t="shared" si="18"/>
        <v>441</v>
      </c>
      <c r="W87">
        <f t="shared" si="18"/>
        <v>484</v>
      </c>
      <c r="X87">
        <f t="shared" si="18"/>
        <v>529</v>
      </c>
      <c r="Y87">
        <f>Y86*Y86</f>
        <v>576</v>
      </c>
      <c r="Z87">
        <f>Z86*Z86</f>
        <v>625</v>
      </c>
      <c r="AA87">
        <f>AA86*AA86</f>
        <v>676</v>
      </c>
      <c r="AB87">
        <f t="shared" si="18"/>
        <v>729</v>
      </c>
      <c r="AC87">
        <f t="shared" si="18"/>
        <v>784</v>
      </c>
      <c r="AD87">
        <f t="shared" si="18"/>
        <v>841</v>
      </c>
      <c r="AE87">
        <f t="shared" si="18"/>
        <v>900</v>
      </c>
      <c r="AF87">
        <f t="shared" si="18"/>
        <v>961</v>
      </c>
      <c r="AG87">
        <f t="shared" si="18"/>
        <v>1024</v>
      </c>
      <c r="AH87">
        <f t="shared" si="18"/>
        <v>1089</v>
      </c>
    </row>
    <row r="88" spans="1:34" x14ac:dyDescent="0.3">
      <c r="B88">
        <f t="shared" ref="B78:AH88" si="19">COS($J$2*B86)</f>
        <v>-0.142314838273285</v>
      </c>
      <c r="C88">
        <f t="shared" si="19"/>
        <v>-0.95949297361449748</v>
      </c>
      <c r="D88">
        <f t="shared" si="19"/>
        <v>0.41541501300188605</v>
      </c>
      <c r="E88">
        <f t="shared" si="19"/>
        <v>0.84125353283118154</v>
      </c>
      <c r="F88">
        <f t="shared" si="19"/>
        <v>-0.65486073394528388</v>
      </c>
      <c r="G88">
        <f t="shared" si="19"/>
        <v>-0.65486073394528577</v>
      </c>
      <c r="H88">
        <f t="shared" si="19"/>
        <v>0.84125353283118109</v>
      </c>
      <c r="I88">
        <f t="shared" si="19"/>
        <v>0.41541501300188749</v>
      </c>
      <c r="J88">
        <f t="shared" si="19"/>
        <v>-0.95949297361449681</v>
      </c>
      <c r="K88">
        <f t="shared" si="19"/>
        <v>-0.14231483827328836</v>
      </c>
      <c r="L88">
        <f t="shared" si="19"/>
        <v>1</v>
      </c>
      <c r="M88">
        <f t="shared" si="19"/>
        <v>-0.14231483827328339</v>
      </c>
      <c r="N88">
        <f t="shared" si="19"/>
        <v>-0.95949297361449815</v>
      </c>
      <c r="O88">
        <f t="shared" si="19"/>
        <v>0.41541501300188616</v>
      </c>
      <c r="P88">
        <f t="shared" si="19"/>
        <v>0.84125353283118187</v>
      </c>
      <c r="Q88">
        <f t="shared" si="19"/>
        <v>-0.65486073394528332</v>
      </c>
      <c r="R88">
        <f t="shared" si="19"/>
        <v>-0.65486073394528765</v>
      </c>
      <c r="S88">
        <f t="shared" si="19"/>
        <v>0.84125353283117876</v>
      </c>
      <c r="T88">
        <f t="shared" si="19"/>
        <v>0.41541501300188816</v>
      </c>
      <c r="U88">
        <f t="shared" si="19"/>
        <v>-0.95949297361449559</v>
      </c>
      <c r="V88">
        <f t="shared" si="19"/>
        <v>-0.14231483827328908</v>
      </c>
      <c r="W88">
        <f t="shared" si="19"/>
        <v>1</v>
      </c>
      <c r="X88">
        <f t="shared" si="19"/>
        <v>-0.14231483827327915</v>
      </c>
      <c r="Y88">
        <f>COS($J$2*Y86)</f>
        <v>-0.95949297361449837</v>
      </c>
      <c r="Z88">
        <f>COS($J$2*Z86)</f>
        <v>0.41541501300188549</v>
      </c>
      <c r="AA88">
        <f>COS($J$2*AA86)</f>
        <v>0.8412535328311842</v>
      </c>
      <c r="AB88">
        <f t="shared" si="19"/>
        <v>-0.65486073394528277</v>
      </c>
      <c r="AC88">
        <f t="shared" si="19"/>
        <v>-0.65486073394528554</v>
      </c>
      <c r="AD88">
        <f t="shared" si="19"/>
        <v>0.84125353283117843</v>
      </c>
      <c r="AE88">
        <f t="shared" si="19"/>
        <v>0.41541501300188882</v>
      </c>
      <c r="AF88">
        <f t="shared" si="19"/>
        <v>-0.95949297361449537</v>
      </c>
      <c r="AG88">
        <f t="shared" si="19"/>
        <v>-0.14231483827328981</v>
      </c>
      <c r="AH88">
        <f t="shared" si="19"/>
        <v>1</v>
      </c>
    </row>
    <row r="89" spans="1:34" x14ac:dyDescent="0.3">
      <c r="B89">
        <f t="shared" ref="B79:AH89" si="20">SIN($J$2*B86)</f>
        <v>0.9898214418809328</v>
      </c>
      <c r="C89">
        <f t="shared" si="20"/>
        <v>-0.28173255684142939</v>
      </c>
      <c r="D89">
        <f t="shared" si="20"/>
        <v>-0.90963199535451855</v>
      </c>
      <c r="E89">
        <f t="shared" si="20"/>
        <v>0.54064081745559711</v>
      </c>
      <c r="F89">
        <f t="shared" si="20"/>
        <v>0.75574957435425938</v>
      </c>
      <c r="G89">
        <f t="shared" si="20"/>
        <v>-0.75574957435425771</v>
      </c>
      <c r="H89">
        <f t="shared" si="20"/>
        <v>-0.54064081745559767</v>
      </c>
      <c r="I89">
        <f t="shared" si="20"/>
        <v>0.90963199535451789</v>
      </c>
      <c r="J89">
        <f t="shared" si="20"/>
        <v>0.28173255684143184</v>
      </c>
      <c r="K89">
        <f t="shared" si="20"/>
        <v>-0.98982144188093224</v>
      </c>
      <c r="L89">
        <f t="shared" si="20"/>
        <v>-7.3508907294517201E-16</v>
      </c>
      <c r="M89">
        <f t="shared" si="20"/>
        <v>0.98982144188093302</v>
      </c>
      <c r="N89">
        <f t="shared" si="20"/>
        <v>-0.28173255684142701</v>
      </c>
      <c r="O89">
        <f t="shared" si="20"/>
        <v>-0.90963199535451844</v>
      </c>
      <c r="P89">
        <f t="shared" si="20"/>
        <v>0.54064081745559645</v>
      </c>
      <c r="Q89">
        <f t="shared" si="20"/>
        <v>0.75574957435425982</v>
      </c>
      <c r="R89">
        <f t="shared" si="20"/>
        <v>-0.75574957435425605</v>
      </c>
      <c r="S89">
        <f t="shared" si="20"/>
        <v>-0.54064081745560133</v>
      </c>
      <c r="T89">
        <f t="shared" si="20"/>
        <v>0.90963199535451755</v>
      </c>
      <c r="U89">
        <f t="shared" si="20"/>
        <v>0.28173255684143594</v>
      </c>
      <c r="V89">
        <f t="shared" si="20"/>
        <v>-0.98982144188093213</v>
      </c>
      <c r="W89">
        <f t="shared" si="20"/>
        <v>-1.470178145890344E-15</v>
      </c>
      <c r="X89">
        <f t="shared" si="20"/>
        <v>0.98982144188093357</v>
      </c>
      <c r="Y89">
        <f>SIN($J$2*Y86)</f>
        <v>-0.28173255684142628</v>
      </c>
      <c r="Z89">
        <f>SIN($J$2*Z86)</f>
        <v>-0.90963199535451877</v>
      </c>
      <c r="AA89">
        <f>SIN($J$2*AA86)</f>
        <v>0.54064081745559289</v>
      </c>
      <c r="AB89">
        <f t="shared" si="20"/>
        <v>0.75574957435426027</v>
      </c>
      <c r="AC89">
        <f t="shared" si="20"/>
        <v>-0.75574957435425794</v>
      </c>
      <c r="AD89">
        <f t="shared" si="20"/>
        <v>-0.54064081745560189</v>
      </c>
      <c r="AE89">
        <f t="shared" si="20"/>
        <v>0.90963199535451722</v>
      </c>
      <c r="AF89">
        <f t="shared" si="20"/>
        <v>0.28173255684143667</v>
      </c>
      <c r="AG89">
        <f t="shared" si="20"/>
        <v>-0.98982144188093202</v>
      </c>
      <c r="AH89">
        <f t="shared" si="20"/>
        <v>-2.205267218835516E-15</v>
      </c>
    </row>
    <row r="90" spans="1:34" x14ac:dyDescent="0.3">
      <c r="B90">
        <f t="shared" ref="B80:AH90" si="21">COS($L$2*B86)</f>
        <v>0.41541501300188644</v>
      </c>
      <c r="C90">
        <f t="shared" si="21"/>
        <v>-0.65486073394528499</v>
      </c>
      <c r="D90">
        <f t="shared" si="21"/>
        <v>-0.95949297361449748</v>
      </c>
      <c r="E90">
        <f t="shared" si="21"/>
        <v>-0.14231483827328523</v>
      </c>
      <c r="F90">
        <f t="shared" si="21"/>
        <v>0.84125353283118121</v>
      </c>
      <c r="G90">
        <f t="shared" si="21"/>
        <v>0.84125353283118154</v>
      </c>
      <c r="H90">
        <f t="shared" si="21"/>
        <v>-0.14231483827328475</v>
      </c>
      <c r="I90">
        <f t="shared" si="21"/>
        <v>-0.95949297361449737</v>
      </c>
      <c r="J90">
        <f t="shared" si="21"/>
        <v>-0.65486073394528577</v>
      </c>
      <c r="K90">
        <f t="shared" si="21"/>
        <v>0.4154150130018866</v>
      </c>
      <c r="L90">
        <f t="shared" si="21"/>
        <v>1</v>
      </c>
      <c r="M90">
        <f t="shared" si="21"/>
        <v>0.41541501300188749</v>
      </c>
      <c r="N90">
        <f t="shared" si="21"/>
        <v>-0.65486073394528499</v>
      </c>
      <c r="O90">
        <f t="shared" si="21"/>
        <v>-0.95949297361449759</v>
      </c>
      <c r="P90">
        <f t="shared" si="21"/>
        <v>-0.14231483827328484</v>
      </c>
      <c r="Q90">
        <f t="shared" si="21"/>
        <v>0.84125353283118098</v>
      </c>
      <c r="R90">
        <f t="shared" si="21"/>
        <v>0.84125353283118176</v>
      </c>
      <c r="S90">
        <f t="shared" si="21"/>
        <v>-0.14231483827328339</v>
      </c>
      <c r="T90">
        <f t="shared" si="21"/>
        <v>-0.9594929736144977</v>
      </c>
      <c r="U90">
        <f t="shared" si="21"/>
        <v>-0.65486073394528477</v>
      </c>
      <c r="V90">
        <f t="shared" si="21"/>
        <v>0.41541501300188616</v>
      </c>
      <c r="W90">
        <f t="shared" si="21"/>
        <v>1</v>
      </c>
      <c r="X90">
        <f t="shared" si="21"/>
        <v>0.41541501300188793</v>
      </c>
      <c r="Y90">
        <f>COS($L$2*Y86)</f>
        <v>-0.65486073394528332</v>
      </c>
      <c r="Z90">
        <f>COS($L$2*Z86)</f>
        <v>-0.95949297361449726</v>
      </c>
      <c r="AA90">
        <f>COS($L$2*AA86)</f>
        <v>-0.14231483827328534</v>
      </c>
      <c r="AB90">
        <f t="shared" si="21"/>
        <v>0.84125353283118065</v>
      </c>
      <c r="AC90">
        <f t="shared" si="21"/>
        <v>0.84125353283118198</v>
      </c>
      <c r="AD90">
        <f t="shared" si="21"/>
        <v>-0.14231483827328642</v>
      </c>
      <c r="AE90">
        <f t="shared" si="21"/>
        <v>-0.95949297361449759</v>
      </c>
      <c r="AF90">
        <f t="shared" si="21"/>
        <v>-0.6548607339452851</v>
      </c>
      <c r="AG90">
        <f t="shared" si="21"/>
        <v>0.41541501300188571</v>
      </c>
      <c r="AH90">
        <f t="shared" si="21"/>
        <v>1</v>
      </c>
    </row>
    <row r="91" spans="1:34" x14ac:dyDescent="0.3">
      <c r="B91">
        <f t="shared" ref="B81:AH91" si="22">SIN($L$2*B86)</f>
        <v>0.90963199535451833</v>
      </c>
      <c r="C91">
        <f t="shared" si="22"/>
        <v>0.75574957435425827</v>
      </c>
      <c r="D91">
        <f t="shared" si="22"/>
        <v>-0.28173255684142939</v>
      </c>
      <c r="E91">
        <f t="shared" si="22"/>
        <v>-0.98982144188093268</v>
      </c>
      <c r="F91">
        <f t="shared" si="22"/>
        <v>-0.54064081745559744</v>
      </c>
      <c r="G91">
        <f t="shared" si="22"/>
        <v>0.54064081745559711</v>
      </c>
      <c r="H91">
        <f t="shared" si="22"/>
        <v>0.9898214418809328</v>
      </c>
      <c r="I91">
        <f t="shared" si="22"/>
        <v>0.28173255684142989</v>
      </c>
      <c r="J91">
        <f t="shared" si="22"/>
        <v>-0.75574957435425771</v>
      </c>
      <c r="K91">
        <f t="shared" si="22"/>
        <v>-0.90963199535451833</v>
      </c>
      <c r="L91">
        <f t="shared" si="22"/>
        <v>-4.90059381963448E-16</v>
      </c>
      <c r="M91">
        <f t="shared" si="22"/>
        <v>0.90963199535451789</v>
      </c>
      <c r="N91">
        <f t="shared" si="22"/>
        <v>0.75574957435425838</v>
      </c>
      <c r="O91">
        <f t="shared" si="22"/>
        <v>-0.28173255684142895</v>
      </c>
      <c r="P91">
        <f t="shared" si="22"/>
        <v>-0.9898214418809328</v>
      </c>
      <c r="Q91">
        <f t="shared" si="22"/>
        <v>-0.54064081745559789</v>
      </c>
      <c r="R91">
        <f t="shared" si="22"/>
        <v>0.54064081745559667</v>
      </c>
      <c r="S91">
        <f t="shared" si="22"/>
        <v>0.98982144188093302</v>
      </c>
      <c r="T91">
        <f t="shared" si="22"/>
        <v>0.28173255684142867</v>
      </c>
      <c r="U91">
        <f t="shared" si="22"/>
        <v>-0.75574957435425849</v>
      </c>
      <c r="V91">
        <f t="shared" si="22"/>
        <v>-0.90963199535451844</v>
      </c>
      <c r="W91">
        <f t="shared" si="22"/>
        <v>-9.8011876392689601E-16</v>
      </c>
      <c r="X91">
        <f t="shared" si="22"/>
        <v>0.90963199535451766</v>
      </c>
      <c r="Y91">
        <f>SIN($L$2*Y86)</f>
        <v>0.75574957435425982</v>
      </c>
      <c r="Z91">
        <f>SIN($L$2*Z86)</f>
        <v>-0.28173255684143017</v>
      </c>
      <c r="AA91">
        <f>SIN($L$2*AA86)</f>
        <v>-0.98982144188093268</v>
      </c>
      <c r="AB91">
        <f t="shared" si="22"/>
        <v>-0.54064081745559833</v>
      </c>
      <c r="AC91">
        <f t="shared" si="22"/>
        <v>0.54064081745559622</v>
      </c>
      <c r="AD91">
        <f t="shared" si="22"/>
        <v>0.98982144188093257</v>
      </c>
      <c r="AE91">
        <f t="shared" si="22"/>
        <v>0.28173255684142912</v>
      </c>
      <c r="AF91">
        <f t="shared" si="22"/>
        <v>-0.75574957435425827</v>
      </c>
      <c r="AG91">
        <f t="shared" si="22"/>
        <v>-0.90963199535451866</v>
      </c>
      <c r="AH91">
        <f t="shared" si="22"/>
        <v>-1.470178145890344E-15</v>
      </c>
    </row>
    <row r="92" spans="1:34" x14ac:dyDescent="0.3">
      <c r="B92">
        <f t="shared" ref="B82:AH92" si="23">COS($N$2*B86)</f>
        <v>0.92836793301607257</v>
      </c>
      <c r="C92">
        <f t="shared" si="23"/>
        <v>0.7237340381050702</v>
      </c>
      <c r="D92">
        <f t="shared" si="23"/>
        <v>0.41541501300188644</v>
      </c>
      <c r="E92">
        <f t="shared" si="23"/>
        <v>4.7581915823742403E-2</v>
      </c>
      <c r="F92">
        <f t="shared" si="23"/>
        <v>-0.32706796331742144</v>
      </c>
      <c r="G92">
        <f t="shared" si="23"/>
        <v>-0.65486073394528499</v>
      </c>
      <c r="H92">
        <f t="shared" si="23"/>
        <v>-0.88883544865492337</v>
      </c>
      <c r="I92">
        <f t="shared" si="23"/>
        <v>-0.99547192257308459</v>
      </c>
      <c r="J92">
        <f t="shared" si="23"/>
        <v>-0.95949297361449748</v>
      </c>
      <c r="K92">
        <f t="shared" si="23"/>
        <v>-0.78605309474278773</v>
      </c>
      <c r="L92">
        <f t="shared" si="23"/>
        <v>-0.50000000000000044</v>
      </c>
      <c r="M92">
        <f t="shared" si="23"/>
        <v>-0.14231483827328523</v>
      </c>
      <c r="N92">
        <f t="shared" si="23"/>
        <v>0.23575893550942661</v>
      </c>
      <c r="O92">
        <f t="shared" si="23"/>
        <v>0.58005690957119793</v>
      </c>
      <c r="P92">
        <f t="shared" si="23"/>
        <v>0.84125353283118076</v>
      </c>
      <c r="Q92">
        <f t="shared" si="23"/>
        <v>0.9819286972627066</v>
      </c>
      <c r="R92">
        <f t="shared" si="23"/>
        <v>0.98192869726270671</v>
      </c>
      <c r="S92">
        <f t="shared" si="23"/>
        <v>0.84125353283118154</v>
      </c>
      <c r="T92">
        <f t="shared" si="23"/>
        <v>0.58005690957119838</v>
      </c>
      <c r="U92">
        <f t="shared" si="23"/>
        <v>0.23575893550942797</v>
      </c>
      <c r="V92">
        <f t="shared" si="23"/>
        <v>-0.14231483827328475</v>
      </c>
      <c r="W92">
        <f t="shared" si="23"/>
        <v>-0.49999999999999922</v>
      </c>
      <c r="X92">
        <f t="shared" si="23"/>
        <v>-0.78605309474278717</v>
      </c>
      <c r="Y92">
        <f>COS($N$2*Y86)</f>
        <v>-0.95949297361449737</v>
      </c>
      <c r="Z92">
        <f>COS($N$2*Z86)</f>
        <v>-0.99547192257308459</v>
      </c>
      <c r="AA92">
        <f>COS($N$2*AA86)</f>
        <v>-0.88883544865492403</v>
      </c>
      <c r="AB92">
        <f t="shared" si="23"/>
        <v>-0.65486073394528577</v>
      </c>
      <c r="AC92">
        <f t="shared" si="23"/>
        <v>-0.32706796331742211</v>
      </c>
      <c r="AD92">
        <f t="shared" si="23"/>
        <v>4.7581915823742139E-2</v>
      </c>
      <c r="AE92">
        <f t="shared" si="23"/>
        <v>0.41541501300188499</v>
      </c>
      <c r="AF92">
        <f t="shared" si="23"/>
        <v>0.72373403810506931</v>
      </c>
      <c r="AG92">
        <f t="shared" si="23"/>
        <v>0.92836793301607234</v>
      </c>
      <c r="AH92">
        <f t="shared" si="23"/>
        <v>1</v>
      </c>
    </row>
    <row r="93" spans="1:34" ht="15" thickBot="1" x14ac:dyDescent="0.35">
      <c r="B93">
        <f t="shared" ref="B83:AH93" si="24">SIN($N$2*B86)</f>
        <v>0.37166245566032752</v>
      </c>
      <c r="C93">
        <f t="shared" si="24"/>
        <v>0.69007901148211193</v>
      </c>
      <c r="D93">
        <f t="shared" si="24"/>
        <v>0.90963199535451833</v>
      </c>
      <c r="E93">
        <f t="shared" si="24"/>
        <v>0.99886733918300796</v>
      </c>
      <c r="F93">
        <f t="shared" si="24"/>
        <v>0.94500081871466857</v>
      </c>
      <c r="G93">
        <f t="shared" si="24"/>
        <v>0.75574957435425827</v>
      </c>
      <c r="H93">
        <f t="shared" si="24"/>
        <v>0.45822652172741052</v>
      </c>
      <c r="I93">
        <f t="shared" si="24"/>
        <v>9.505604330418288E-2</v>
      </c>
      <c r="J93">
        <f t="shared" si="24"/>
        <v>-0.28173255684142939</v>
      </c>
      <c r="K93">
        <f t="shared" si="24"/>
        <v>-0.61815898622060494</v>
      </c>
      <c r="L93">
        <f t="shared" si="24"/>
        <v>-0.86602540378443837</v>
      </c>
      <c r="M93">
        <f t="shared" si="24"/>
        <v>-0.98982144188093268</v>
      </c>
      <c r="N93">
        <f t="shared" si="24"/>
        <v>-0.97181156832354187</v>
      </c>
      <c r="O93">
        <f t="shared" si="24"/>
        <v>-0.81457595205033584</v>
      </c>
      <c r="P93">
        <f t="shared" si="24"/>
        <v>-0.54064081745559822</v>
      </c>
      <c r="Q93">
        <f t="shared" si="24"/>
        <v>-0.18925124436041063</v>
      </c>
      <c r="R93">
        <f t="shared" si="24"/>
        <v>0.18925124436041013</v>
      </c>
      <c r="S93">
        <f t="shared" si="24"/>
        <v>0.54064081745559711</v>
      </c>
      <c r="T93">
        <f t="shared" si="24"/>
        <v>0.81457595205033562</v>
      </c>
      <c r="U93">
        <f t="shared" si="24"/>
        <v>0.97181156832354154</v>
      </c>
      <c r="V93">
        <f t="shared" si="24"/>
        <v>0.9898214418809328</v>
      </c>
      <c r="W93">
        <f t="shared" si="24"/>
        <v>0.86602540378443915</v>
      </c>
      <c r="X93">
        <f t="shared" si="24"/>
        <v>0.61815898622060561</v>
      </c>
      <c r="Y93">
        <f>SIN($N$2*Y86)</f>
        <v>0.28173255684142989</v>
      </c>
      <c r="Z93">
        <f>SIN($N$2*Z86)</f>
        <v>-9.5056043304182825E-2</v>
      </c>
      <c r="AA93">
        <f>SIN($N$2*AA86)</f>
        <v>-0.4582265217274093</v>
      </c>
      <c r="AB93">
        <f t="shared" si="24"/>
        <v>-0.75574957435425771</v>
      </c>
      <c r="AC93">
        <f t="shared" si="24"/>
        <v>-0.94500081871466834</v>
      </c>
      <c r="AD93">
        <f t="shared" si="24"/>
        <v>-0.99886733918300796</v>
      </c>
      <c r="AE93">
        <f t="shared" si="24"/>
        <v>-0.909631995354519</v>
      </c>
      <c r="AF93">
        <f t="shared" si="24"/>
        <v>-0.69007901148211281</v>
      </c>
      <c r="AG93">
        <f t="shared" si="24"/>
        <v>-0.37166245566032829</v>
      </c>
      <c r="AH93">
        <f t="shared" si="24"/>
        <v>-4.90059381963448E-16</v>
      </c>
    </row>
    <row r="94" spans="1:34" x14ac:dyDescent="0.3">
      <c r="A94" t="s">
        <v>83</v>
      </c>
      <c r="B94" s="2">
        <f t="array" ref="B94:J102">MMULT(B85:AH93,F3:N35)</f>
        <v>33</v>
      </c>
      <c r="C94" s="3">
        <v>561</v>
      </c>
      <c r="D94" s="3">
        <v>12529</v>
      </c>
      <c r="E94" s="3">
        <v>2.55351295663786E-15</v>
      </c>
      <c r="F94" s="3">
        <v>1.0562297564353784E-14</v>
      </c>
      <c r="G94" s="3">
        <v>4.4408920985006262E-15</v>
      </c>
      <c r="H94" s="3">
        <v>-6.6882263616285798E-15</v>
      </c>
      <c r="I94" s="3">
        <v>-3.7747582837255322E-15</v>
      </c>
      <c r="J94" s="4">
        <v>-1.2672154992010576E-15</v>
      </c>
    </row>
    <row r="95" spans="1:34" x14ac:dyDescent="0.3">
      <c r="B95" s="5">
        <v>561</v>
      </c>
      <c r="C95" s="6">
        <v>12529</v>
      </c>
      <c r="D95" s="6">
        <v>314721</v>
      </c>
      <c r="E95" s="6">
        <v>16.50000000000005</v>
      </c>
      <c r="F95" s="6">
        <v>-14.297331386960371</v>
      </c>
      <c r="G95" s="6">
        <v>16.500000000000071</v>
      </c>
      <c r="H95" s="6">
        <v>-25.674501154094973</v>
      </c>
      <c r="I95" s="6">
        <v>16.499999999999922</v>
      </c>
      <c r="J95" s="9">
        <v>-85.610129326177145</v>
      </c>
      <c r="K95" t="s">
        <v>85</v>
      </c>
      <c r="L95">
        <f>Q7</f>
        <v>4.4371696263151128E-2</v>
      </c>
    </row>
    <row r="96" spans="1:34" x14ac:dyDescent="0.3">
      <c r="B96" s="5">
        <v>12529</v>
      </c>
      <c r="C96" s="6">
        <v>314721</v>
      </c>
      <c r="D96" s="6">
        <v>8432017</v>
      </c>
      <c r="E96" s="6">
        <v>573.3887081690051</v>
      </c>
      <c r="F96" s="6">
        <v>-471.81193576969486</v>
      </c>
      <c r="G96" s="6">
        <v>600.95030360676537</v>
      </c>
      <c r="H96" s="6">
        <v>-847.25853808513307</v>
      </c>
      <c r="I96" s="6">
        <v>1005.1875298936195</v>
      </c>
      <c r="J96" s="9">
        <v>-2825.1342677638459</v>
      </c>
      <c r="K96" t="s">
        <v>52</v>
      </c>
      <c r="L96">
        <v>33</v>
      </c>
    </row>
    <row r="97" spans="1:14" x14ac:dyDescent="0.3">
      <c r="B97" s="5">
        <v>2.55351295663786E-15</v>
      </c>
      <c r="C97" s="6">
        <v>16.50000000000005</v>
      </c>
      <c r="D97" s="6">
        <v>573.3887081690051</v>
      </c>
      <c r="E97" s="6">
        <v>16.5</v>
      </c>
      <c r="F97" s="6">
        <v>-5.0363359316296652E-15</v>
      </c>
      <c r="G97" s="6">
        <v>-7.1054273576010019E-15</v>
      </c>
      <c r="H97" s="6">
        <v>-1.1093556628871681E-15</v>
      </c>
      <c r="I97" s="6">
        <v>-8.2156503822261584E-15</v>
      </c>
      <c r="J97" s="9">
        <v>7.3812483902813142E-16</v>
      </c>
      <c r="K97" t="s">
        <v>86</v>
      </c>
      <c r="L97">
        <v>7</v>
      </c>
    </row>
    <row r="98" spans="1:14" x14ac:dyDescent="0.3">
      <c r="B98" s="5">
        <v>1.0562297564353784E-14</v>
      </c>
      <c r="C98" s="6">
        <v>-14.297331386960371</v>
      </c>
      <c r="D98" s="6">
        <v>-471.81193576969486</v>
      </c>
      <c r="E98" s="6">
        <v>-5.0363359316296652E-15</v>
      </c>
      <c r="F98" s="6">
        <v>16.5</v>
      </c>
      <c r="G98" s="6">
        <v>-5.2583805365546965E-15</v>
      </c>
      <c r="H98" s="6">
        <v>-1.2212453270876719E-14</v>
      </c>
      <c r="I98" s="6">
        <v>5.7029034272737533E-16</v>
      </c>
      <c r="J98" s="9">
        <v>4.6629367034256583E-15</v>
      </c>
      <c r="K98" t="s">
        <v>87</v>
      </c>
      <c r="L98">
        <v>26</v>
      </c>
    </row>
    <row r="99" spans="1:14" x14ac:dyDescent="0.3">
      <c r="B99" s="5">
        <v>4.4408920985006262E-15</v>
      </c>
      <c r="C99" s="6">
        <v>16.500000000000071</v>
      </c>
      <c r="D99" s="6">
        <v>600.95030360676537</v>
      </c>
      <c r="E99" s="6">
        <v>-7.1054273576010019E-15</v>
      </c>
      <c r="F99" s="6">
        <v>-5.2583805365546965E-15</v>
      </c>
      <c r="G99" s="6">
        <v>16.5</v>
      </c>
      <c r="H99" s="6">
        <v>-4.154662724964453E-16</v>
      </c>
      <c r="I99" s="6">
        <v>-2.2204460492503131E-16</v>
      </c>
      <c r="J99" s="9">
        <v>5.1443224680092214E-15</v>
      </c>
      <c r="K99" t="s">
        <v>77</v>
      </c>
      <c r="L99">
        <f>TINV(0.05,L98)</f>
        <v>2.0555294386428731</v>
      </c>
    </row>
    <row r="100" spans="1:14" x14ac:dyDescent="0.3">
      <c r="B100" s="5">
        <v>-6.6882263616285798E-15</v>
      </c>
      <c r="C100" s="6">
        <v>-25.674501154094973</v>
      </c>
      <c r="D100" s="6">
        <v>-847.25853808513307</v>
      </c>
      <c r="E100" s="6">
        <v>-1.1093556628871681E-15</v>
      </c>
      <c r="F100" s="6">
        <v>-1.2212453270876719E-14</v>
      </c>
      <c r="G100" s="6">
        <v>-4.154662724964453E-16</v>
      </c>
      <c r="H100" s="6">
        <v>16.5</v>
      </c>
      <c r="I100" s="6">
        <v>-1.0260889360402814E-15</v>
      </c>
      <c r="J100" s="9">
        <v>1.4988010832439621E-15</v>
      </c>
      <c r="K100" t="s">
        <v>88</v>
      </c>
      <c r="L100" t="s">
        <v>89</v>
      </c>
      <c r="M100" t="s">
        <v>93</v>
      </c>
      <c r="N100" t="s">
        <v>94</v>
      </c>
    </row>
    <row r="101" spans="1:14" x14ac:dyDescent="0.3">
      <c r="B101" s="5">
        <v>-3.7747582837255322E-15</v>
      </c>
      <c r="C101" s="6">
        <v>16.499999999999922</v>
      </c>
      <c r="D101" s="6">
        <v>1005.1875298936195</v>
      </c>
      <c r="E101" s="6">
        <v>-8.2156503822261584E-15</v>
      </c>
      <c r="F101" s="6">
        <v>5.7029034272737533E-16</v>
      </c>
      <c r="G101" s="6">
        <v>-2.2204460492503131E-16</v>
      </c>
      <c r="H101" s="6">
        <v>-1.0260889360402814E-15</v>
      </c>
      <c r="I101" s="6">
        <v>16.5</v>
      </c>
      <c r="J101" s="9">
        <v>1.2862974574368025E-15</v>
      </c>
      <c r="K101">
        <v>11.3789</v>
      </c>
      <c r="L101">
        <f>O36</f>
        <v>11.378152196493115</v>
      </c>
      <c r="M101">
        <f>L101-N112</f>
        <v>11.265907887323106</v>
      </c>
      <c r="N101">
        <f>L101+N112</f>
        <v>11.490396505663124</v>
      </c>
    </row>
    <row r="102" spans="1:14" ht="15" thickBot="1" x14ac:dyDescent="0.35">
      <c r="B102" s="10">
        <v>-1.2672154992010576E-15</v>
      </c>
      <c r="C102" s="11">
        <v>-85.610129326177145</v>
      </c>
      <c r="D102" s="11">
        <v>-2825.1342677638459</v>
      </c>
      <c r="E102" s="11">
        <v>7.3812483902813142E-16</v>
      </c>
      <c r="F102" s="11">
        <v>4.6629367034256583E-15</v>
      </c>
      <c r="G102" s="11">
        <v>5.1443224680092214E-15</v>
      </c>
      <c r="H102" s="11">
        <v>1.4988010832439621E-15</v>
      </c>
      <c r="I102" s="11">
        <v>1.2862974574368025E-15</v>
      </c>
      <c r="J102" s="14">
        <v>16.5</v>
      </c>
      <c r="K102">
        <v>11.3545</v>
      </c>
      <c r="L102">
        <f>O37</f>
        <v>11.2704730273185</v>
      </c>
      <c r="M102">
        <f t="shared" ref="M102:M105" si="25">L102-N113</f>
        <v>11.153110679733713</v>
      </c>
      <c r="N102">
        <f t="shared" ref="N102:N105" si="26">L102+N113</f>
        <v>11.387835374903288</v>
      </c>
    </row>
    <row r="103" spans="1:14" x14ac:dyDescent="0.3">
      <c r="A103" t="s">
        <v>84</v>
      </c>
      <c r="B103" s="2">
        <f t="array" ref="B103:J111">MINVERSE(B94:J102)</f>
        <v>0.34141190346594102</v>
      </c>
      <c r="C103" s="3">
        <v>-4.0028284815539147E-2</v>
      </c>
      <c r="D103" s="3">
        <v>9.7288490439312162E-4</v>
      </c>
      <c r="E103" s="3">
        <v>6.2197261169272579E-3</v>
      </c>
      <c r="F103" s="3">
        <v>-6.8653904749435193E-3</v>
      </c>
      <c r="G103" s="3">
        <v>4.5946194416310836E-3</v>
      </c>
      <c r="H103" s="3">
        <v>-1.2328557749805477E-2</v>
      </c>
      <c r="I103" s="3">
        <v>-1.9240307543110072E-2</v>
      </c>
      <c r="J103" s="4">
        <v>-4.1108858046800138E-2</v>
      </c>
      <c r="K103">
        <v>11.3165</v>
      </c>
      <c r="L103">
        <f>O38</f>
        <v>11.183295369338715</v>
      </c>
      <c r="M103">
        <f t="shared" si="25"/>
        <v>11.062742302948163</v>
      </c>
      <c r="N103">
        <f t="shared" si="26"/>
        <v>11.303848435729268</v>
      </c>
    </row>
    <row r="104" spans="1:14" x14ac:dyDescent="0.3">
      <c r="B104" s="5">
        <v>-4.0028284815539154E-2</v>
      </c>
      <c r="C104" s="6">
        <v>6.0793643373973083E-3</v>
      </c>
      <c r="D104" s="6">
        <v>-1.6678026932453495E-4</v>
      </c>
      <c r="E104" s="6">
        <v>-2.8361141763526987E-4</v>
      </c>
      <c r="F104" s="6">
        <v>4.9877362640234134E-4</v>
      </c>
      <c r="G104" s="6">
        <v>-5.0217018702123113E-6</v>
      </c>
      <c r="H104" s="6">
        <v>8.9567512286791275E-4</v>
      </c>
      <c r="I104" s="6">
        <v>4.0809657812282754E-3</v>
      </c>
      <c r="J104" s="9">
        <v>2.9865765509033862E-3</v>
      </c>
      <c r="K104">
        <v>11.307399999999999</v>
      </c>
      <c r="L104">
        <f>O39</f>
        <v>11.065983992145757</v>
      </c>
      <c r="M104">
        <f t="shared" si="25"/>
        <v>10.940674276990391</v>
      </c>
      <c r="N104">
        <f t="shared" si="26"/>
        <v>11.191293707301122</v>
      </c>
    </row>
    <row r="105" spans="1:14" x14ac:dyDescent="0.3">
      <c r="B105" s="5">
        <v>9.7288490439312075E-4</v>
      </c>
      <c r="C105" s="6">
        <v>-1.6678026932453492E-4</v>
      </c>
      <c r="D105" s="6">
        <v>4.9053020389569086E-6</v>
      </c>
      <c r="E105" s="6">
        <v>-3.6830518449368055E-6</v>
      </c>
      <c r="F105" s="6">
        <v>-4.2504684123695439E-6</v>
      </c>
      <c r="G105" s="6">
        <v>-1.1876867014497321E-5</v>
      </c>
      <c r="H105" s="6">
        <v>-7.6327989612353641E-6</v>
      </c>
      <c r="I105" s="6">
        <v>-1.3205296945857048E-4</v>
      </c>
      <c r="J105" s="9">
        <v>-2.5451123753882614E-5</v>
      </c>
      <c r="K105">
        <v>11.2334</v>
      </c>
      <c r="L105">
        <f>O40</f>
        <v>10.940430642074464</v>
      </c>
      <c r="M105">
        <f t="shared" si="25"/>
        <v>10.808375564524868</v>
      </c>
      <c r="N105">
        <f t="shared" si="26"/>
        <v>11.07248571962406</v>
      </c>
    </row>
    <row r="106" spans="1:14" x14ac:dyDescent="0.3">
      <c r="B106" s="5">
        <v>6.2197261169272457E-3</v>
      </c>
      <c r="C106" s="6">
        <v>-2.8361141763526824E-4</v>
      </c>
      <c r="D106" s="6">
        <v>-3.6830518449368453E-6</v>
      </c>
      <c r="E106" s="6">
        <v>6.1017661135179993E-2</v>
      </c>
      <c r="F106" s="6">
        <v>-3.510663177913093E-4</v>
      </c>
      <c r="G106" s="6">
        <v>4.1775269790282534E-4</v>
      </c>
      <c r="H106" s="6">
        <v>-6.304290176499419E-4</v>
      </c>
      <c r="I106" s="6">
        <v>5.0798461681603906E-4</v>
      </c>
      <c r="J106" s="9">
        <v>-2.1021288557101668E-3</v>
      </c>
    </row>
    <row r="107" spans="1:14" x14ac:dyDescent="0.3">
      <c r="B107" s="5">
        <v>-6.8653904749435063E-3</v>
      </c>
      <c r="C107" s="6">
        <v>4.9877362640233939E-4</v>
      </c>
      <c r="D107" s="6">
        <v>-4.2504684123694889E-6</v>
      </c>
      <c r="E107" s="6">
        <v>-3.5106631779130936E-4</v>
      </c>
      <c r="F107" s="6">
        <v>6.0916709702677728E-2</v>
      </c>
      <c r="G107" s="6">
        <v>-3.4396633653053859E-4</v>
      </c>
      <c r="H107" s="6">
        <v>5.5784959960354446E-4</v>
      </c>
      <c r="I107" s="6">
        <v>-2.3983315098897499E-4</v>
      </c>
      <c r="J107" s="9">
        <v>1.8601170118156078E-3</v>
      </c>
    </row>
    <row r="108" spans="1:14" x14ac:dyDescent="0.3">
      <c r="B108" s="5">
        <v>4.5946194416310827E-3</v>
      </c>
      <c r="C108" s="6">
        <v>-5.0217018702120521E-6</v>
      </c>
      <c r="D108" s="6">
        <v>-1.1876867014497331E-5</v>
      </c>
      <c r="E108" s="6">
        <v>4.1775269790282545E-4</v>
      </c>
      <c r="F108" s="6">
        <v>-3.4396633653053859E-4</v>
      </c>
      <c r="G108" s="6">
        <v>6.1043652419340476E-2</v>
      </c>
      <c r="H108" s="6">
        <v>-6.1767919237556176E-4</v>
      </c>
      <c r="I108" s="6">
        <v>7.2856586048703723E-4</v>
      </c>
      <c r="J108" s="9">
        <v>-2.0596153056289188E-3</v>
      </c>
    </row>
    <row r="109" spans="1:14" x14ac:dyDescent="0.3">
      <c r="B109" s="5">
        <v>-1.2328557749805463E-2</v>
      </c>
      <c r="C109" s="6">
        <v>8.9567512286791058E-4</v>
      </c>
      <c r="D109" s="6">
        <v>-7.6327989612353065E-6</v>
      </c>
      <c r="E109" s="6">
        <v>-6.3042901764994222E-4</v>
      </c>
      <c r="F109" s="6">
        <v>5.5784959960354446E-4</v>
      </c>
      <c r="G109" s="6">
        <v>-6.1767919237556165E-4</v>
      </c>
      <c r="H109" s="6">
        <v>6.1607821690083164E-2</v>
      </c>
      <c r="I109" s="6">
        <v>-4.3068152686677268E-4</v>
      </c>
      <c r="J109" s="9">
        <v>3.3403140120377701E-3</v>
      </c>
    </row>
    <row r="110" spans="1:14" x14ac:dyDescent="0.3">
      <c r="B110" s="5">
        <v>-1.92403075431101E-2</v>
      </c>
      <c r="C110" s="6">
        <v>4.0809657812282771E-3</v>
      </c>
      <c r="D110" s="6">
        <v>-1.3205296945857051E-4</v>
      </c>
      <c r="E110" s="6">
        <v>5.0798461681603787E-4</v>
      </c>
      <c r="F110" s="6">
        <v>-2.3983315098897355E-4</v>
      </c>
      <c r="G110" s="6">
        <v>7.285658604870368E-4</v>
      </c>
      <c r="H110" s="6">
        <v>-4.3068152686677127E-4</v>
      </c>
      <c r="I110" s="6">
        <v>6.4569821987570414E-2</v>
      </c>
      <c r="J110" s="9">
        <v>-1.4360824770135647E-3</v>
      </c>
    </row>
    <row r="111" spans="1:14" ht="15" thickBot="1" x14ac:dyDescent="0.35">
      <c r="B111" s="10">
        <v>-4.110885804680009E-2</v>
      </c>
      <c r="C111" s="11">
        <v>2.9865765509033814E-3</v>
      </c>
      <c r="D111" s="11">
        <v>-2.5451123753882522E-5</v>
      </c>
      <c r="E111" s="11">
        <v>-2.1021288557101668E-3</v>
      </c>
      <c r="F111" s="11">
        <v>1.8601170118156078E-3</v>
      </c>
      <c r="G111" s="11">
        <v>-2.0596153056289183E-3</v>
      </c>
      <c r="H111" s="11">
        <v>3.3403140120377693E-3</v>
      </c>
      <c r="I111" s="11">
        <v>-1.4360824770135673E-3</v>
      </c>
      <c r="J111" s="14">
        <v>7.1744143205768177E-2</v>
      </c>
      <c r="M111" t="s">
        <v>91</v>
      </c>
      <c r="N111" t="s">
        <v>92</v>
      </c>
    </row>
    <row r="112" spans="1:14" x14ac:dyDescent="0.3">
      <c r="A112" t="s">
        <v>90</v>
      </c>
      <c r="B112">
        <f t="array" ref="B112:J117">MMULT(F36:N41,B103:J111)</f>
        <v>5.4978018834467589E-2</v>
      </c>
      <c r="C112">
        <v>-1.9882544939291525E-2</v>
      </c>
      <c r="D112">
        <v>8.2527201607511492E-4</v>
      </c>
      <c r="E112">
        <v>-1.742148496729137E-2</v>
      </c>
      <c r="F112">
        <v>6.6359230030830926E-2</v>
      </c>
      <c r="G112">
        <v>1.5001790053435849E-2</v>
      </c>
      <c r="H112">
        <v>6.6568262680406415E-2</v>
      </c>
      <c r="I112">
        <v>2.5871320314273229E-2</v>
      </c>
      <c r="J112">
        <v>6.06678463584494E-2</v>
      </c>
      <c r="L112">
        <f>SUMPRODUCT(B112:J112,F36:N36)</f>
        <v>0.5144997213893393</v>
      </c>
      <c r="M112">
        <f>$Q$7*$L$99*SQRT(L112)</f>
        <v>6.5421772188700295E-2</v>
      </c>
      <c r="N112">
        <f>$Q$7*$L$99*SQRT(L112+1)</f>
        <v>0.11224430917000998</v>
      </c>
    </row>
    <row r="113" spans="2:14" x14ac:dyDescent="0.3">
      <c r="B113">
        <v>7.3552999580649883E-2</v>
      </c>
      <c r="C113">
        <v>-2.5730058289362645E-2</v>
      </c>
      <c r="D113">
        <v>1.038176527589671E-3</v>
      </c>
      <c r="E113">
        <v>-6.849852786945694E-2</v>
      </c>
      <c r="F113">
        <v>-9.6836151307580706E-3</v>
      </c>
      <c r="G113">
        <v>-5.1770137674135117E-2</v>
      </c>
      <c r="H113">
        <v>5.9075581221152307E-2</v>
      </c>
      <c r="I113">
        <v>6.3465394253427732E-3</v>
      </c>
      <c r="J113">
        <v>8.6079604717658104E-2</v>
      </c>
      <c r="L113">
        <f>SUMPRODUCT(B113:J113,F37:N37)</f>
        <v>0.65576276244921949</v>
      </c>
      <c r="M113">
        <f t="shared" ref="M113:M117" si="27">$Q$7*$L$99*SQRT(L113)</f>
        <v>7.3858946417273683E-2</v>
      </c>
      <c r="N113">
        <f t="shared" ref="N113:N117" si="28">$Q$7*$L$99*SQRT(L113+1)</f>
        <v>0.11736234758478672</v>
      </c>
    </row>
    <row r="114" spans="2:14" x14ac:dyDescent="0.3">
      <c r="B114">
        <v>0.12375943848866272</v>
      </c>
      <c r="C114">
        <v>-3.372545711805066E-2</v>
      </c>
      <c r="D114">
        <v>1.263941254138441E-3</v>
      </c>
      <c r="E114">
        <v>1.4979115911379449E-2</v>
      </c>
      <c r="F114">
        <v>-4.8210512856592835E-2</v>
      </c>
      <c r="G114">
        <v>-7.045992797468327E-2</v>
      </c>
      <c r="H114">
        <v>-4.6504136566286013E-3</v>
      </c>
      <c r="I114">
        <v>-1.8097753438081399E-2</v>
      </c>
      <c r="J114">
        <v>9.6557272690950699E-2</v>
      </c>
      <c r="L114">
        <f t="shared" ref="L114:L116" si="29">SUMPRODUCT(B114:J114,F38:N38)</f>
        <v>0.74701670712716695</v>
      </c>
      <c r="M114">
        <f t="shared" si="27"/>
        <v>7.8830610497587328E-2</v>
      </c>
      <c r="N114">
        <f t="shared" si="28"/>
        <v>0.12055306639055233</v>
      </c>
    </row>
    <row r="115" spans="2:14" x14ac:dyDescent="0.3">
      <c r="B115">
        <v>0.16333685759322028</v>
      </c>
      <c r="C115">
        <v>-4.1091394598995822E-2</v>
      </c>
      <c r="D115">
        <v>1.4895168065655981E-3</v>
      </c>
      <c r="E115">
        <v>4.0314510678905846E-2</v>
      </c>
      <c r="F115">
        <v>3.9752444823551641E-2</v>
      </c>
      <c r="G115">
        <v>-2.1783782092292883E-2</v>
      </c>
      <c r="H115">
        <v>-4.7443434421346402E-2</v>
      </c>
      <c r="I115">
        <v>-4.6766896534517252E-2</v>
      </c>
      <c r="J115">
        <v>0.10237046703082693</v>
      </c>
      <c r="L115">
        <f t="shared" si="29"/>
        <v>0.88760022598885868</v>
      </c>
      <c r="M115">
        <f t="shared" si="27"/>
        <v>8.592873819378688E-2</v>
      </c>
      <c r="N115">
        <f t="shared" si="28"/>
        <v>0.12530971515536596</v>
      </c>
    </row>
    <row r="116" spans="2:14" x14ac:dyDescent="0.3">
      <c r="B116">
        <v>0.19389685714830057</v>
      </c>
      <c r="C116">
        <v>-4.8281373897827072E-2</v>
      </c>
      <c r="D116">
        <v>1.7309645199766182E-3</v>
      </c>
      <c r="E116">
        <v>-5.1559610583449079E-2</v>
      </c>
      <c r="F116">
        <v>5.3463302596249429E-2</v>
      </c>
      <c r="G116">
        <v>3.6222578686838945E-2</v>
      </c>
      <c r="H116">
        <v>-1.9010093251152816E-2</v>
      </c>
      <c r="I116">
        <v>-7.6992075404367907E-2</v>
      </c>
      <c r="J116">
        <v>0.10314141436033475</v>
      </c>
      <c r="L116">
        <f t="shared" si="29"/>
        <v>1.0962870154381694</v>
      </c>
      <c r="M116">
        <f t="shared" si="27"/>
        <v>9.5497470342870053E-2</v>
      </c>
      <c r="N116">
        <f t="shared" si="28"/>
        <v>0.13205507754959644</v>
      </c>
    </row>
    <row r="117" spans="2:14" x14ac:dyDescent="0.3">
      <c r="B117">
        <v>0.23991383500653407</v>
      </c>
      <c r="C117">
        <v>-5.6732433557822863E-2</v>
      </c>
      <c r="D117">
        <v>1.9881665472681756E-3</v>
      </c>
      <c r="E117">
        <v>-5.2046535054796617E-2</v>
      </c>
      <c r="F117">
        <v>-3.8110986061818827E-2</v>
      </c>
      <c r="G117">
        <v>3.5306024020220241E-2</v>
      </c>
      <c r="H117">
        <v>4.6579089024779557E-2</v>
      </c>
      <c r="I117">
        <v>-0.10407610914586879</v>
      </c>
      <c r="J117">
        <v>9.1861578375112052E-2</v>
      </c>
      <c r="L117">
        <f>SUMPRODUCT(B117:J117,F41:N41)</f>
        <v>1.3066994184679326</v>
      </c>
      <c r="M117">
        <f t="shared" si="27"/>
        <v>0.1042599665748256</v>
      </c>
      <c r="N117">
        <f t="shared" si="28"/>
        <v>0.1385240675656268</v>
      </c>
    </row>
  </sheetData>
  <mergeCells count="4">
    <mergeCell ref="A56:L56"/>
    <mergeCell ref="A73:L73"/>
    <mergeCell ref="A78:L78"/>
    <mergeCell ref="A84:L8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Толстихин_0В91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Tolstikhin</dc:creator>
  <cp:lastModifiedBy>Ilya Tolstikhin</cp:lastModifiedBy>
  <dcterms:created xsi:type="dcterms:W3CDTF">2021-06-06T06:49:32Z</dcterms:created>
  <dcterms:modified xsi:type="dcterms:W3CDTF">2021-06-11T12:32:10Z</dcterms:modified>
</cp:coreProperties>
</file>