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2" l="1"/>
  <c r="N16" i="1"/>
  <c r="M22" i="2" l="1"/>
  <c r="M21" i="2"/>
  <c r="S17" i="2"/>
  <c r="N17" i="2"/>
  <c r="O17" i="2"/>
  <c r="P17" i="2"/>
  <c r="Q17" i="2"/>
  <c r="R17" i="2"/>
  <c r="M17" i="2"/>
  <c r="N13" i="1"/>
  <c r="N16" i="2"/>
  <c r="O16" i="2"/>
  <c r="P16" i="2"/>
  <c r="Q16" i="2"/>
  <c r="R16" i="2"/>
  <c r="S16" i="2"/>
  <c r="M16" i="2"/>
  <c r="N12" i="1"/>
  <c r="N15" i="2"/>
  <c r="O15" i="2"/>
  <c r="P15" i="2"/>
  <c r="Q15" i="2"/>
  <c r="R15" i="2"/>
  <c r="S15" i="2"/>
  <c r="M15" i="2"/>
  <c r="N10" i="2"/>
  <c r="O10" i="2"/>
  <c r="P10" i="2"/>
  <c r="Q10" i="2"/>
  <c r="R10" i="2"/>
  <c r="S10" i="2"/>
  <c r="M10" i="2"/>
  <c r="M8" i="2"/>
  <c r="M9" i="2" s="1"/>
  <c r="S6" i="2"/>
  <c r="S8" i="2" s="1"/>
  <c r="S9" i="2" s="1"/>
  <c r="R6" i="2"/>
  <c r="R8" i="2" s="1"/>
  <c r="R9" i="2" s="1"/>
  <c r="Q6" i="2"/>
  <c r="Q8" i="2" s="1"/>
  <c r="Q9" i="2" s="1"/>
  <c r="P6" i="2"/>
  <c r="P8" i="2" s="1"/>
  <c r="P9" i="2" s="1"/>
  <c r="O6" i="2"/>
  <c r="O8" i="2" s="1"/>
  <c r="O9" i="2" s="1"/>
  <c r="N6" i="2"/>
  <c r="N8" i="2" s="1"/>
  <c r="N9" i="2" s="1"/>
  <c r="M6" i="2"/>
  <c r="S3" i="2"/>
  <c r="R3" i="2"/>
  <c r="Q3" i="2"/>
  <c r="P3" i="2"/>
  <c r="O3" i="2"/>
  <c r="N3" i="2"/>
  <c r="M3" i="2"/>
  <c r="T8" i="1"/>
  <c r="S8" i="1"/>
  <c r="R8" i="1"/>
  <c r="P8" i="1"/>
  <c r="T5" i="1"/>
  <c r="S5" i="1"/>
  <c r="R5" i="1"/>
  <c r="Q5" i="1"/>
  <c r="P5" i="1"/>
  <c r="O8" i="1"/>
  <c r="O5" i="1"/>
  <c r="N8" i="1"/>
  <c r="N5" i="1"/>
  <c r="B16" i="2"/>
  <c r="B17" i="2"/>
  <c r="N9" i="1"/>
  <c r="B15" i="2"/>
  <c r="B14" i="2"/>
  <c r="D14" i="2" s="1"/>
  <c r="B13" i="2"/>
  <c r="B12" i="2"/>
  <c r="N17" i="1"/>
  <c r="B15" i="1" l="1"/>
  <c r="B16" i="1" s="1"/>
  <c r="S11" i="1" s="1"/>
  <c r="T11" i="1" l="1"/>
  <c r="T12" i="1" s="1"/>
  <c r="T9" i="1"/>
  <c r="N11" i="1"/>
  <c r="O11" i="1"/>
  <c r="O12" i="1" s="1"/>
  <c r="O9" i="1"/>
  <c r="P11" i="1"/>
  <c r="P12" i="1" s="1"/>
  <c r="P9" i="1"/>
  <c r="R11" i="1"/>
  <c r="R12" i="1" s="1"/>
  <c r="Q9" i="1"/>
  <c r="Q11" i="1"/>
  <c r="Q12" i="1" s="1"/>
  <c r="S9" i="1"/>
  <c r="R9" i="1"/>
  <c r="S12" i="1"/>
  <c r="T7" i="1" l="1"/>
  <c r="S7" i="1"/>
  <c r="R7" i="1"/>
  <c r="Q7" i="1"/>
  <c r="Q8" i="1" s="1"/>
  <c r="P7" i="1"/>
  <c r="O7" i="1"/>
  <c r="N7" i="1"/>
  <c r="R2" i="1"/>
  <c r="T2" i="1"/>
  <c r="S2" i="1"/>
  <c r="Q2" i="1"/>
  <c r="P2" i="1"/>
  <c r="O2" i="1"/>
  <c r="N2" i="1"/>
  <c r="S13" i="1" l="1"/>
  <c r="P13" i="1"/>
  <c r="T13" i="1"/>
  <c r="Q13" i="1"/>
  <c r="O13" i="1"/>
  <c r="R13" i="1"/>
  <c r="B14" i="1"/>
  <c r="D14" i="1" s="1"/>
  <c r="B12" i="1"/>
  <c r="N18" i="1" l="1"/>
  <c r="B13" i="1"/>
</calcChain>
</file>

<file path=xl/sharedStrings.xml><?xml version="1.0" encoding="utf-8"?>
<sst xmlns="http://schemas.openxmlformats.org/spreadsheetml/2006/main" count="80" uniqueCount="41">
  <si>
    <t>Xmin</t>
  </si>
  <si>
    <t>Xmax</t>
  </si>
  <si>
    <t>m</t>
  </si>
  <si>
    <t>n</t>
  </si>
  <si>
    <t>Низ</t>
  </si>
  <si>
    <t>Вверх</t>
  </si>
  <si>
    <t>∆x</t>
  </si>
  <si>
    <t>Интервал</t>
  </si>
  <si>
    <t>Кол-во</t>
  </si>
  <si>
    <t>(0, 1.57)</t>
  </si>
  <si>
    <t>(1.57, 3.14)</t>
  </si>
  <si>
    <t>(3.14, 4,71)</t>
  </si>
  <si>
    <t>(4.71, 6.28)</t>
  </si>
  <si>
    <t>(6.28, 7.85)</t>
  </si>
  <si>
    <t xml:space="preserve">(7.85, 9.42) </t>
  </si>
  <si>
    <t>(9.42,11)</t>
  </si>
  <si>
    <t>Середина</t>
  </si>
  <si>
    <t xml:space="preserve">𝜔_𝑖    </t>
  </si>
  <si>
    <t>p_i</t>
  </si>
  <si>
    <t>Сумма</t>
  </si>
  <si>
    <t>Xi</t>
  </si>
  <si>
    <t>Теор. p_i</t>
  </si>
  <si>
    <t>ª(вывел формулу на листочке метод МП)</t>
  </si>
  <si>
    <t>Вероятность попадания в интервал</t>
  </si>
  <si>
    <t>Ожид. Вероятность</t>
  </si>
  <si>
    <t>Нормирование квадратов отклонений</t>
  </si>
  <si>
    <t>Квантиль уровня</t>
  </si>
  <si>
    <t>Ркр</t>
  </si>
  <si>
    <t>Значение критерия Пирсона</t>
  </si>
  <si>
    <r>
      <t>Вероят. p</t>
    </r>
    <r>
      <rPr>
        <sz val="11"/>
        <color rgb="FFFFC000"/>
        <rFont val="Calibri"/>
        <family val="2"/>
      </rPr>
      <t>*</t>
    </r>
    <r>
      <rPr>
        <sz val="11"/>
        <color rgb="FFFFC000"/>
        <rFont val="Calibri"/>
        <family val="2"/>
        <scheme val="minor"/>
      </rPr>
      <t>_i</t>
    </r>
  </si>
  <si>
    <t>â</t>
  </si>
  <si>
    <t>Хср</t>
  </si>
  <si>
    <t>(0-0.9)</t>
  </si>
  <si>
    <t>(0.9-1.4)</t>
  </si>
  <si>
    <t>(1.4-2.2)</t>
  </si>
  <si>
    <t>(2.2-2.5)</t>
  </si>
  <si>
    <t>(2.5-5)</t>
  </si>
  <si>
    <t>(5-8.5)</t>
  </si>
  <si>
    <t>(8.5-11)</t>
  </si>
  <si>
    <t xml:space="preserve">начало 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</si>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</sst>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6"/>
      <color theme="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C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2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2" fillId="0" borderId="1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0" fontId="3" fillId="0" borderId="0" xfId="0" applyFont="1"/>
    <xf numFmtId="0" fontId="4" fillId="0" borderId="8" xfId="0" applyFont="1" applyFill="1" applyBorder="1"/>
    <xf numFmtId="0" fontId="4" fillId="0" borderId="0" xfId="0" applyFont="1"/>
    <xf numFmtId="2" fontId="2" fillId="0" borderId="9" xfId="0" applyNumberFormat="1" applyFont="1" applyBorder="1" applyAlignment="1">
      <alignment horizontal="right" vertical="center" wrapText="1"/>
    </xf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5" fillId="0" borderId="10" xfId="0" applyFont="1" applyBorder="1"/>
    <xf numFmtId="0" fontId="5" fillId="0" borderId="0" xfId="0" applyFont="1" applyBorder="1"/>
    <xf numFmtId="0" fontId="5" fillId="0" borderId="14" xfId="0" applyFont="1" applyBorder="1"/>
    <xf numFmtId="0" fontId="5" fillId="0" borderId="13" xfId="0" applyFont="1" applyBorder="1"/>
    <xf numFmtId="0" fontId="5" fillId="0" borderId="16" xfId="0" applyFont="1" applyBorder="1"/>
    <xf numFmtId="0" fontId="5" fillId="0" borderId="17" xfId="0" applyFont="1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1'!$N$6:$T$6</c:f>
              <c:numCache>
                <c:formatCode>0.00</c:formatCode>
                <c:ptCount val="7"/>
                <c:pt idx="0">
                  <c:v>0.45</c:v>
                </c:pt>
                <c:pt idx="1">
                  <c:v>1.1499999999999999</c:v>
                </c:pt>
                <c:pt idx="2">
                  <c:v>1.8</c:v>
                </c:pt>
                <c:pt idx="3">
                  <c:v>2.35</c:v>
                </c:pt>
                <c:pt idx="4">
                  <c:v>3.75</c:v>
                </c:pt>
                <c:pt idx="5">
                  <c:v>6.75</c:v>
                </c:pt>
                <c:pt idx="6">
                  <c:v>9.75</c:v>
                </c:pt>
              </c:numCache>
            </c:numRef>
          </c:cat>
          <c:val>
            <c:numRef>
              <c:f>'Задание 1'!$N$8:$T$8</c:f>
              <c:numCache>
                <c:formatCode>General</c:formatCode>
                <c:ptCount val="7"/>
                <c:pt idx="0">
                  <c:v>0.79999999999999993</c:v>
                </c:pt>
                <c:pt idx="1">
                  <c:v>0.16</c:v>
                </c:pt>
                <c:pt idx="2">
                  <c:v>6.25E-2</c:v>
                </c:pt>
                <c:pt idx="3">
                  <c:v>0.1</c:v>
                </c:pt>
                <c:pt idx="4">
                  <c:v>2.4E-2</c:v>
                </c:pt>
                <c:pt idx="5">
                  <c:v>1.1428571428571429E-2</c:v>
                </c:pt>
                <c:pt idx="6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1-43B5-8E3B-54BCA4513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015088"/>
        <c:axId val="1247016752"/>
      </c:barChart>
      <c:catAx>
        <c:axId val="124701508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016752"/>
        <c:crosses val="autoZero"/>
        <c:auto val="1"/>
        <c:lblAlgn val="ctr"/>
        <c:lblOffset val="100"/>
        <c:noMultiLvlLbl val="0"/>
      </c:catAx>
      <c:valAx>
        <c:axId val="12470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01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Плотность распределения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1'!$N$6:$T$6</c:f>
              <c:numCache>
                <c:formatCode>0.00</c:formatCode>
                <c:ptCount val="7"/>
                <c:pt idx="0">
                  <c:v>0.45</c:v>
                </c:pt>
                <c:pt idx="1">
                  <c:v>1.1499999999999999</c:v>
                </c:pt>
                <c:pt idx="2">
                  <c:v>1.8</c:v>
                </c:pt>
                <c:pt idx="3">
                  <c:v>2.35</c:v>
                </c:pt>
                <c:pt idx="4">
                  <c:v>3.75</c:v>
                </c:pt>
                <c:pt idx="5">
                  <c:v>6.75</c:v>
                </c:pt>
                <c:pt idx="6">
                  <c:v>9.75</c:v>
                </c:pt>
              </c:numCache>
            </c:numRef>
          </c:cat>
          <c:val>
            <c:numRef>
              <c:f>'Задание 1'!$N$8:$T$8</c:f>
              <c:numCache>
                <c:formatCode>General</c:formatCode>
                <c:ptCount val="7"/>
                <c:pt idx="0">
                  <c:v>0.79999999999999993</c:v>
                </c:pt>
                <c:pt idx="1">
                  <c:v>0.16</c:v>
                </c:pt>
                <c:pt idx="2">
                  <c:v>6.25E-2</c:v>
                </c:pt>
                <c:pt idx="3">
                  <c:v>0.1</c:v>
                </c:pt>
                <c:pt idx="4">
                  <c:v>2.4E-2</c:v>
                </c:pt>
                <c:pt idx="5">
                  <c:v>1.1428571428571429E-2</c:v>
                </c:pt>
                <c:pt idx="6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B-4A24-9293-4BA6E5EC1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7684063"/>
        <c:axId val="1427677823"/>
      </c:barChart>
      <c:lineChart>
        <c:grouping val="standard"/>
        <c:varyColors val="0"/>
        <c:ser>
          <c:idx val="1"/>
          <c:order val="1"/>
          <c:tx>
            <c:v>Теоритическая плотность распределения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1'!$N$6:$T$6</c:f>
              <c:numCache>
                <c:formatCode>0.00</c:formatCode>
                <c:ptCount val="7"/>
                <c:pt idx="0">
                  <c:v>0.45</c:v>
                </c:pt>
                <c:pt idx="1">
                  <c:v>1.1499999999999999</c:v>
                </c:pt>
                <c:pt idx="2">
                  <c:v>1.8</c:v>
                </c:pt>
                <c:pt idx="3">
                  <c:v>2.35</c:v>
                </c:pt>
                <c:pt idx="4">
                  <c:v>3.75</c:v>
                </c:pt>
                <c:pt idx="5">
                  <c:v>6.75</c:v>
                </c:pt>
                <c:pt idx="6">
                  <c:v>9.75</c:v>
                </c:pt>
              </c:numCache>
            </c:numRef>
          </c:cat>
          <c:val>
            <c:numRef>
              <c:f>'Задание 1'!$N$9:$T$9</c:f>
              <c:numCache>
                <c:formatCode>General</c:formatCode>
                <c:ptCount val="7"/>
                <c:pt idx="0">
                  <c:v>0.20791067539938382</c:v>
                </c:pt>
                <c:pt idx="1">
                  <c:v>0.24185794190170914</c:v>
                </c:pt>
                <c:pt idx="2">
                  <c:v>0.22524229821833527</c:v>
                </c:pt>
                <c:pt idx="3">
                  <c:v>0.2004807238417653</c:v>
                </c:pt>
                <c:pt idx="4">
                  <c:v>0.13410226870966505</c:v>
                </c:pt>
                <c:pt idx="5">
                  <c:v>4.6067062740833845E-2</c:v>
                </c:pt>
                <c:pt idx="6">
                  <c:v>1.4176175734047296E-2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B-4A24-9293-4BA6E5EC1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684063"/>
        <c:axId val="1427677823"/>
      </c:lineChart>
      <c:catAx>
        <c:axId val="142768406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677823"/>
        <c:crosses val="autoZero"/>
        <c:auto val="1"/>
        <c:lblAlgn val="ctr"/>
        <c:lblOffset val="100"/>
        <c:noMultiLvlLbl val="0"/>
      </c:catAx>
      <c:valAx>
        <c:axId val="142767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68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Плотность распределения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2'!$M$7:$S$7</c:f>
              <c:numCache>
                <c:formatCode>0.00</c:formatCode>
                <c:ptCount val="7"/>
                <c:pt idx="0">
                  <c:v>0.45</c:v>
                </c:pt>
                <c:pt idx="1">
                  <c:v>1.1499999999999999</c:v>
                </c:pt>
                <c:pt idx="2">
                  <c:v>1.8</c:v>
                </c:pt>
                <c:pt idx="3">
                  <c:v>2.35</c:v>
                </c:pt>
                <c:pt idx="4">
                  <c:v>3.75</c:v>
                </c:pt>
                <c:pt idx="5">
                  <c:v>6.75</c:v>
                </c:pt>
                <c:pt idx="6">
                  <c:v>9.75</c:v>
                </c:pt>
              </c:numCache>
            </c:numRef>
          </c:cat>
          <c:val>
            <c:numRef>
              <c:f>'Задание 2'!$M$9:$S$9</c:f>
              <c:numCache>
                <c:formatCode>General</c:formatCode>
                <c:ptCount val="7"/>
                <c:pt idx="0">
                  <c:v>0.79999999999999993</c:v>
                </c:pt>
                <c:pt idx="1">
                  <c:v>0.16</c:v>
                </c:pt>
                <c:pt idx="2">
                  <c:v>6.25E-2</c:v>
                </c:pt>
                <c:pt idx="3">
                  <c:v>0.1</c:v>
                </c:pt>
                <c:pt idx="4">
                  <c:v>2.4E-2</c:v>
                </c:pt>
                <c:pt idx="5">
                  <c:v>1.1428571428571429E-2</c:v>
                </c:pt>
                <c:pt idx="6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A-49B0-8095-655ACED5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0048224"/>
        <c:axId val="490050304"/>
      </c:barChart>
      <c:lineChart>
        <c:grouping val="standard"/>
        <c:varyColors val="0"/>
        <c:ser>
          <c:idx val="1"/>
          <c:order val="1"/>
          <c:tx>
            <c:v>Теоритическая плотность распределения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2'!$M$10:$S$10</c:f>
              <c:numCache>
                <c:formatCode>General</c:formatCode>
                <c:ptCount val="7"/>
                <c:pt idx="0">
                  <c:v>0.6497843394921009</c:v>
                </c:pt>
                <c:pt idx="1">
                  <c:v>0.21255833944479197</c:v>
                </c:pt>
                <c:pt idx="2">
                  <c:v>9.9302789232608629E-2</c:v>
                </c:pt>
                <c:pt idx="3">
                  <c:v>5.8988826385602676E-2</c:v>
                </c:pt>
                <c:pt idx="4">
                  <c:v>2.1237862744607362E-2</c:v>
                </c:pt>
                <c:pt idx="5">
                  <c:v>5.0099074324781515E-3</c:v>
                </c:pt>
                <c:pt idx="6">
                  <c:v>1.8975592405356674E-3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EA-49B0-8095-655ACED55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048224"/>
        <c:axId val="490050304"/>
      </c:lineChart>
      <c:catAx>
        <c:axId val="49004822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050304"/>
        <c:crosses val="autoZero"/>
        <c:auto val="1"/>
        <c:lblAlgn val="ctr"/>
        <c:lblOffset val="100"/>
        <c:noMultiLvlLbl val="0"/>
      </c:catAx>
      <c:valAx>
        <c:axId val="4900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04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322729</xdr:colOff>
      <xdr:row>5</xdr:row>
      <xdr:rowOff>26894</xdr:rowOff>
    </xdr:from>
    <xdr:to>
      <xdr:col>30</xdr:col>
      <xdr:colOff>491522</xdr:colOff>
      <xdr:row>19</xdr:row>
      <xdr:rowOff>134469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620485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9851571" y="33854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0</xdr:col>
      <xdr:colOff>3594846</xdr:colOff>
      <xdr:row>15</xdr:row>
      <xdr:rowOff>259976</xdr:rowOff>
    </xdr:from>
    <xdr:to>
      <xdr:col>9</xdr:col>
      <xdr:colOff>609599</xdr:colOff>
      <xdr:row>37</xdr:row>
      <xdr:rowOff>107576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3292545" y="2750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3</xdr:col>
      <xdr:colOff>0</xdr:colOff>
      <xdr:row>14</xdr:row>
      <xdr:rowOff>76200</xdr:rowOff>
    </xdr:from>
    <xdr:to>
      <xdr:col>10</xdr:col>
      <xdr:colOff>304800</xdr:colOff>
      <xdr:row>28</xdr:row>
      <xdr:rowOff>175260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zoomScale="85" zoomScaleNormal="85" workbookViewId="0">
      <selection activeCell="L15" sqref="L15"/>
    </sheetView>
  </sheetViews>
  <sheetFormatPr defaultRowHeight="14.4" x14ac:dyDescent="0.3"/>
  <cols>
    <col min="1" max="1" width="54.77734375" bestFit="1" customWidth="1"/>
    <col min="13" max="13" width="13.21875" customWidth="1"/>
    <col min="15" max="15" width="10.109375" bestFit="1" customWidth="1"/>
    <col min="16" max="16" width="10" bestFit="1" customWidth="1"/>
    <col min="17" max="18" width="10.109375" bestFit="1" customWidth="1"/>
    <col min="19" max="19" width="10.5546875" bestFit="1" customWidth="1"/>
  </cols>
  <sheetData>
    <row r="1" spans="1:21" x14ac:dyDescent="0.3">
      <c r="A1" t="s">
        <v>3</v>
      </c>
      <c r="B1">
        <v>100</v>
      </c>
      <c r="M1" s="4" t="s">
        <v>7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6" t="s">
        <v>15</v>
      </c>
    </row>
    <row r="2" spans="1:21" x14ac:dyDescent="0.3">
      <c r="A2" t="s">
        <v>20</v>
      </c>
      <c r="B2" s="1">
        <v>0.03</v>
      </c>
      <c r="C2" s="1">
        <v>0.14000000000000001</v>
      </c>
      <c r="D2" s="1">
        <v>0.02</v>
      </c>
      <c r="E2" s="1">
        <v>0.1</v>
      </c>
      <c r="F2" s="1">
        <v>9.4700000000000006</v>
      </c>
      <c r="G2" s="1">
        <v>0.63</v>
      </c>
      <c r="H2" s="1">
        <v>1.04</v>
      </c>
      <c r="I2" s="1">
        <v>2.74</v>
      </c>
      <c r="J2" s="1">
        <v>0.08</v>
      </c>
      <c r="K2" s="1">
        <v>0.3</v>
      </c>
      <c r="M2" s="7" t="s">
        <v>8</v>
      </c>
      <c r="N2" s="8">
        <f>COUNTIFS($B$2:$K$11, "&lt;=1,57")</f>
        <v>81</v>
      </c>
      <c r="O2" s="8">
        <f>COUNTIFS($B$2:$K$11, "&gt;1,57",$B$2:$K$11, "&lt;=3,14" )</f>
        <v>11</v>
      </c>
      <c r="P2" s="8">
        <f>COUNTIFS($B$2:$K$11, "&gt;3,14",$B$2:$K$11, "&lt;=4,71" )</f>
        <v>1</v>
      </c>
      <c r="Q2" s="8">
        <f>COUNTIFS($B$2:$K$11, "&gt;4,71",$B$2:$K$11, "&lt;=6,28" )</f>
        <v>3</v>
      </c>
      <c r="R2" s="8">
        <f>COUNTIFS($B$2:$K$11, "&gt;6,28",$B$2:$K$11, "&lt;=7,85" )</f>
        <v>1</v>
      </c>
      <c r="S2" s="8">
        <f>COUNTIFS($B$2:$K$11, "&gt;7,85",$B$2:$K$11, "&lt;=9,42" )</f>
        <v>1</v>
      </c>
      <c r="T2" s="9">
        <f>COUNTIFS($B$2:$K$11, "&gt;9,42",$B$2:$K$11, "&lt;=11" )</f>
        <v>2</v>
      </c>
    </row>
    <row r="3" spans="1:21" x14ac:dyDescent="0.3">
      <c r="B3" s="1">
        <v>0.08</v>
      </c>
      <c r="C3" s="1">
        <v>0.02</v>
      </c>
      <c r="D3" s="1">
        <v>0.28999999999999998</v>
      </c>
      <c r="E3" s="1">
        <v>0.36</v>
      </c>
      <c r="F3" s="1">
        <v>0.5</v>
      </c>
      <c r="G3" s="1">
        <v>0.03</v>
      </c>
      <c r="H3" s="1">
        <v>2.61</v>
      </c>
      <c r="I3" s="1">
        <v>0.61</v>
      </c>
      <c r="J3" s="1">
        <v>5.44</v>
      </c>
      <c r="K3" s="1">
        <v>3.65</v>
      </c>
    </row>
    <row r="4" spans="1:21" x14ac:dyDescent="0.3">
      <c r="B4" s="1">
        <v>0.14000000000000001</v>
      </c>
      <c r="C4" s="1">
        <v>0.04</v>
      </c>
      <c r="D4" s="1">
        <v>4.72</v>
      </c>
      <c r="E4" s="1">
        <v>0.02</v>
      </c>
      <c r="F4" s="1">
        <v>0.01</v>
      </c>
      <c r="G4" s="1">
        <v>0.68</v>
      </c>
      <c r="H4" s="1">
        <v>0.06</v>
      </c>
      <c r="I4" s="1">
        <v>0.12</v>
      </c>
      <c r="J4" s="1">
        <v>0.2</v>
      </c>
      <c r="K4" s="1">
        <v>1.24</v>
      </c>
      <c r="M4" s="2" t="s">
        <v>7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</row>
    <row r="5" spans="1:21" x14ac:dyDescent="0.3">
      <c r="B5" s="1">
        <v>1.49</v>
      </c>
      <c r="C5" s="1">
        <v>0.02</v>
      </c>
      <c r="D5" s="1">
        <v>0.08</v>
      </c>
      <c r="E5" s="1">
        <v>0.13</v>
      </c>
      <c r="F5" s="1">
        <v>0.02</v>
      </c>
      <c r="G5" s="1">
        <v>0.64</v>
      </c>
      <c r="H5" s="1">
        <v>0.46</v>
      </c>
      <c r="I5" s="1">
        <v>0.77</v>
      </c>
      <c r="J5" s="1">
        <v>0.28000000000000003</v>
      </c>
      <c r="K5" s="1">
        <v>0.08</v>
      </c>
      <c r="M5" s="2" t="s">
        <v>8</v>
      </c>
      <c r="N5" s="2">
        <f>COUNTIFS($B$2:$K$11, "&lt;=0,9")</f>
        <v>72</v>
      </c>
      <c r="O5" s="2">
        <f>COUNTIFS($B$2:$K$11, "&gt;0,9",$B$2:$K$11, "&lt;=1,4" )</f>
        <v>8</v>
      </c>
      <c r="P5" s="2">
        <f>COUNTIFS($B$2:$K$11, "&gt;1,4",$B$2:$K$11, "&lt;=2,2" )</f>
        <v>5</v>
      </c>
      <c r="Q5" s="2">
        <f>COUNTIFS($B$2:$K$11, "&gt;2,2",$B$2:$K$11, "&lt;=2,5" )</f>
        <v>3</v>
      </c>
      <c r="R5" s="2">
        <f>COUNTIFS($B$2:$K$11, "&gt;2,5",$B$2:$K$11, "&lt;=5" )</f>
        <v>6</v>
      </c>
      <c r="S5" s="2">
        <f>COUNTIFS($B$2:$K$11, "&gt;5",$B$2:$K$11, "&lt;=8,5" )</f>
        <v>4</v>
      </c>
      <c r="T5" s="2">
        <f>COUNTIFS($B$2:$K$11, "&gt;8,5",$B$2:$K$11, "&lt;=11" )</f>
        <v>2</v>
      </c>
    </row>
    <row r="6" spans="1:21" x14ac:dyDescent="0.3">
      <c r="B6" s="1">
        <v>0.75</v>
      </c>
      <c r="C6" s="1">
        <v>0</v>
      </c>
      <c r="D6" s="1">
        <v>1.7</v>
      </c>
      <c r="E6" s="1">
        <v>7.0000000000000007E-2</v>
      </c>
      <c r="F6" s="1">
        <v>0.11</v>
      </c>
      <c r="G6" s="1">
        <v>2.2599999999999998</v>
      </c>
      <c r="H6" s="1">
        <v>0.05</v>
      </c>
      <c r="I6" s="1">
        <v>1.2</v>
      </c>
      <c r="J6" s="1">
        <v>0.47</v>
      </c>
      <c r="K6" s="1">
        <v>0.28999999999999998</v>
      </c>
      <c r="M6" s="2" t="s">
        <v>16</v>
      </c>
      <c r="N6" s="10">
        <v>0.45</v>
      </c>
      <c r="O6" s="10">
        <v>1.1499999999999999</v>
      </c>
      <c r="P6" s="10">
        <v>1.8</v>
      </c>
      <c r="Q6" s="10">
        <v>2.35</v>
      </c>
      <c r="R6" s="10">
        <v>3.75</v>
      </c>
      <c r="S6" s="10">
        <v>6.75</v>
      </c>
      <c r="T6" s="10">
        <v>9.75</v>
      </c>
    </row>
    <row r="7" spans="1:21" x14ac:dyDescent="0.3">
      <c r="B7" s="1">
        <v>0.24</v>
      </c>
      <c r="C7" s="1">
        <v>2.78</v>
      </c>
      <c r="D7" s="1">
        <v>0.13</v>
      </c>
      <c r="E7" s="1">
        <v>1.21</v>
      </c>
      <c r="F7" s="1">
        <v>0.75</v>
      </c>
      <c r="G7" s="1">
        <v>2.29</v>
      </c>
      <c r="H7" s="1">
        <v>8.23</v>
      </c>
      <c r="I7" s="1">
        <v>0.99</v>
      </c>
      <c r="J7" s="1">
        <v>1.98</v>
      </c>
      <c r="K7" s="1">
        <v>0.34</v>
      </c>
      <c r="M7" s="2" t="s">
        <v>17</v>
      </c>
      <c r="N7" s="2">
        <f>(N5/$B$1)</f>
        <v>0.72</v>
      </c>
      <c r="O7" s="2">
        <f t="shared" ref="O7:T7" si="0">(O5/$B$1)</f>
        <v>0.08</v>
      </c>
      <c r="P7" s="2">
        <f t="shared" si="0"/>
        <v>0.05</v>
      </c>
      <c r="Q7" s="2">
        <f t="shared" si="0"/>
        <v>0.03</v>
      </c>
      <c r="R7" s="2">
        <f t="shared" si="0"/>
        <v>0.06</v>
      </c>
      <c r="S7" s="2">
        <f t="shared" si="0"/>
        <v>0.04</v>
      </c>
      <c r="T7" s="2">
        <f t="shared" si="0"/>
        <v>0.02</v>
      </c>
    </row>
    <row r="8" spans="1:21" x14ac:dyDescent="0.3">
      <c r="B8" s="1">
        <v>0.72</v>
      </c>
      <c r="C8" s="1">
        <v>0.32</v>
      </c>
      <c r="D8" s="1">
        <v>0.1</v>
      </c>
      <c r="E8" s="1">
        <v>0.34</v>
      </c>
      <c r="F8" s="1">
        <v>0.84</v>
      </c>
      <c r="G8" s="1">
        <v>0.24</v>
      </c>
      <c r="H8" s="1">
        <v>0.82</v>
      </c>
      <c r="I8" s="1">
        <v>0.84</v>
      </c>
      <c r="J8" s="1">
        <v>0.18</v>
      </c>
      <c r="K8" s="1">
        <v>1.89</v>
      </c>
      <c r="M8" s="2" t="s">
        <v>18</v>
      </c>
      <c r="N8" s="2">
        <f>(N7)/(0.9)</f>
        <v>0.79999999999999993</v>
      </c>
      <c r="O8" s="2">
        <f>(O7)/(0.5)</f>
        <v>0.16</v>
      </c>
      <c r="P8" s="2">
        <f>(P7)/(0.8)</f>
        <v>6.25E-2</v>
      </c>
      <c r="Q8" s="2">
        <f>(Q7)/(0.3)</f>
        <v>0.1</v>
      </c>
      <c r="R8" s="2">
        <f>(R7)/(2.5)</f>
        <v>2.4E-2</v>
      </c>
      <c r="S8" s="2">
        <f>(S7)/(3.5)</f>
        <v>1.1428571428571429E-2</v>
      </c>
      <c r="T8" s="2">
        <f>(T7)/(2.5)</f>
        <v>8.0000000000000002E-3</v>
      </c>
    </row>
    <row r="9" spans="1:21" ht="15" thickBot="1" x14ac:dyDescent="0.35">
      <c r="B9" s="1">
        <v>0.15</v>
      </c>
      <c r="C9" s="1">
        <v>0.93</v>
      </c>
      <c r="D9" s="1">
        <v>2.0499999999999998</v>
      </c>
      <c r="E9" s="1">
        <v>6.39</v>
      </c>
      <c r="F9" s="1">
        <v>7.0000000000000007E-2</v>
      </c>
      <c r="G9" s="1">
        <v>0.4</v>
      </c>
      <c r="H9" s="1">
        <v>0.15</v>
      </c>
      <c r="I9" s="1">
        <v>0.08</v>
      </c>
      <c r="J9" s="1">
        <v>0.4</v>
      </c>
      <c r="K9" s="1">
        <v>0.25</v>
      </c>
      <c r="M9" s="13" t="s">
        <v>21</v>
      </c>
      <c r="N9" s="14">
        <f>SQRT($B$16/3.1415)*POWER(N6,0.5)*EXP(-$B$16*N6)</f>
        <v>0.20791067539938382</v>
      </c>
      <c r="O9" s="14">
        <f t="shared" ref="O9:T9" si="1">SQRT($B$16/3.1415)*POWER(O6,0.5)*EXP(-$B$16*O6)</f>
        <v>0.24185794190170914</v>
      </c>
      <c r="P9" s="14">
        <f t="shared" si="1"/>
        <v>0.22524229821833527</v>
      </c>
      <c r="Q9" s="14">
        <f t="shared" si="1"/>
        <v>0.2004807238417653</v>
      </c>
      <c r="R9" s="14">
        <f t="shared" si="1"/>
        <v>0.13410226870966505</v>
      </c>
      <c r="S9" s="14">
        <f t="shared" si="1"/>
        <v>4.6067062740833845E-2</v>
      </c>
      <c r="T9" s="14">
        <f t="shared" si="1"/>
        <v>1.4176175734047296E-2</v>
      </c>
      <c r="U9" s="14"/>
    </row>
    <row r="10" spans="1:21" x14ac:dyDescent="0.3">
      <c r="B10" s="1">
        <v>0.54</v>
      </c>
      <c r="C10" s="1">
        <v>0.08</v>
      </c>
      <c r="D10" s="1">
        <v>0.05</v>
      </c>
      <c r="E10" s="1">
        <v>0.02</v>
      </c>
      <c r="F10" s="1">
        <v>5.68</v>
      </c>
      <c r="G10" s="1">
        <v>0.55000000000000004</v>
      </c>
      <c r="H10" s="1">
        <v>3.08</v>
      </c>
      <c r="I10" s="1">
        <v>0.99</v>
      </c>
      <c r="J10" s="1">
        <v>10.61</v>
      </c>
      <c r="K10" s="15">
        <v>1.24</v>
      </c>
      <c r="L10" s="20"/>
      <c r="M10" s="32" t="s">
        <v>23</v>
      </c>
      <c r="N10" s="32"/>
      <c r="O10" s="32"/>
      <c r="P10" s="32"/>
      <c r="Q10" s="32"/>
      <c r="R10" s="32"/>
      <c r="S10" s="32"/>
      <c r="T10" s="33"/>
    </row>
    <row r="11" spans="1:21" x14ac:dyDescent="0.3">
      <c r="B11" s="1">
        <v>0.6</v>
      </c>
      <c r="C11" s="1">
        <v>0.3</v>
      </c>
      <c r="D11" s="1">
        <v>0.04</v>
      </c>
      <c r="E11" s="1">
        <v>0.05</v>
      </c>
      <c r="F11" s="1">
        <v>0.81</v>
      </c>
      <c r="G11" s="1">
        <v>0.16</v>
      </c>
      <c r="H11" s="1">
        <v>0.05</v>
      </c>
      <c r="I11" s="1">
        <v>2.25</v>
      </c>
      <c r="J11" s="1">
        <v>0.35</v>
      </c>
      <c r="K11" s="15">
        <v>0.31</v>
      </c>
      <c r="L11" s="28" t="s">
        <v>29</v>
      </c>
      <c r="M11" s="29"/>
      <c r="N11" s="21">
        <f>SQRT($B$16/3.1415)*POWER(0.1,0.5)*EXP(-$B$16*0.1)</f>
        <v>0.11489472292247295</v>
      </c>
      <c r="O11" s="21">
        <f>SQRT($B$16/3.1415)*POWER(0.2,0.5)*EXP(-$B$16*0.2)-SQRT($B$16/3.1415)*POWER(0.1,0.5)*EXP(-$B$16*0.1)</f>
        <v>4.0376992641493678E-2</v>
      </c>
      <c r="P11" s="21">
        <f>SQRT($B$16/3.1415)*POWER(0.35,0.5)*EXP(-$B$16*0.35)-SQRT($B$16/3.1415)*POWER(0.2,0.5)*EXP(-$B$16*0.2)</f>
        <v>3.6607212245412635E-2</v>
      </c>
      <c r="Q11" s="21">
        <f>-SQRT($B$16/3.1415)*POWER(0.35,0.5)*EXP(-$B$16*0.35)+SQRT($B$16/3.1415)*POWER(0.65,0.5)*EXP(-$B$16*0.65)</f>
        <v>3.6303267251308086E-2</v>
      </c>
      <c r="R11" s="21">
        <f>SQRT($B$16/3.1415)*POWER(1,0.5)*EXP(-$B$16*1)-SQRT($B$16/3.1415)*POWER(0.65,0.5)*EXP(-$B$16*0.65)</f>
        <v>1.3250190442761295E-2</v>
      </c>
      <c r="S11" s="21">
        <f>-SQRT($B$16/3.1415)*POWER(2.5,0.5)*EXP(-$B$16*2.5)+SQRT($B$16/3.1415)*POWER(1,0.5)*EXP(-$B$16*1)</f>
        <v>4.8269091801776437E-2</v>
      </c>
      <c r="T11" s="22">
        <f>-SQRT($B$16/3.1415)*POWER(11,0.5)*EXP(-$B$16*11)+SQRT($B$16/3.1415)*POWER(2.5,0.5)*EXP(-$B$16*2.5)</f>
        <v>0.18462798925602339</v>
      </c>
    </row>
    <row r="12" spans="1:21" x14ac:dyDescent="0.3">
      <c r="A12" t="s">
        <v>0</v>
      </c>
      <c r="B12">
        <f>MIN(B2:K11)</f>
        <v>0</v>
      </c>
      <c r="C12" s="2" t="s">
        <v>4</v>
      </c>
      <c r="D12" s="2">
        <v>0</v>
      </c>
      <c r="L12" s="28" t="s">
        <v>24</v>
      </c>
      <c r="M12" s="29"/>
      <c r="N12" s="21">
        <f>$B$1*N11</f>
        <v>11.489472292247296</v>
      </c>
      <c r="O12" s="21">
        <f t="shared" ref="O12:T12" si="2">$B$1*O11</f>
        <v>4.0376992641493681</v>
      </c>
      <c r="P12" s="21">
        <f t="shared" si="2"/>
        <v>3.6607212245412635</v>
      </c>
      <c r="Q12" s="21">
        <f t="shared" si="2"/>
        <v>3.6303267251308085</v>
      </c>
      <c r="R12" s="21">
        <f t="shared" si="2"/>
        <v>1.3250190442761296</v>
      </c>
      <c r="S12" s="21">
        <f t="shared" si="2"/>
        <v>4.826909180177644</v>
      </c>
      <c r="T12" s="22">
        <f t="shared" si="2"/>
        <v>18.462798925602339</v>
      </c>
    </row>
    <row r="13" spans="1:21" x14ac:dyDescent="0.3">
      <c r="A13" t="s">
        <v>1</v>
      </c>
      <c r="B13">
        <f>MAX(B2:K11)</f>
        <v>10.61</v>
      </c>
      <c r="C13" s="2" t="s">
        <v>5</v>
      </c>
      <c r="D13" s="2">
        <v>11</v>
      </c>
      <c r="L13" s="28" t="s">
        <v>25</v>
      </c>
      <c r="M13" s="29"/>
      <c r="N13" s="21">
        <f>((N12-N5)^2)/N12</f>
        <v>318.68512933717409</v>
      </c>
      <c r="O13" s="21">
        <f t="shared" ref="O13:T13" si="3">((O12-O5)^2)/O12</f>
        <v>3.8883101722609297</v>
      </c>
      <c r="P13" s="21">
        <f t="shared" si="3"/>
        <v>0.48997657247692306</v>
      </c>
      <c r="Q13" s="21">
        <f t="shared" si="3"/>
        <v>0.10944243052939367</v>
      </c>
      <c r="R13" s="21">
        <f t="shared" si="3"/>
        <v>16.494439857897067</v>
      </c>
      <c r="S13" s="21">
        <f t="shared" si="3"/>
        <v>0.14165975922441085</v>
      </c>
      <c r="T13" s="22">
        <f t="shared" si="3"/>
        <v>14.679450800332623</v>
      </c>
    </row>
    <row r="14" spans="1:21" x14ac:dyDescent="0.3">
      <c r="A14" t="s">
        <v>2</v>
      </c>
      <c r="B14">
        <f>1+INT(LOG(B1,2))</f>
        <v>7</v>
      </c>
      <c r="C14" s="3" t="s">
        <v>6</v>
      </c>
      <c r="D14">
        <f>(D13-D12)/B14</f>
        <v>1.5714285714285714</v>
      </c>
      <c r="L14" s="28"/>
      <c r="M14" s="29"/>
      <c r="N14" s="21"/>
      <c r="O14" s="21"/>
      <c r="P14" s="21"/>
      <c r="Q14" s="21"/>
      <c r="R14" s="21"/>
      <c r="S14" s="21"/>
      <c r="T14" s="22"/>
    </row>
    <row r="15" spans="1:21" x14ac:dyDescent="0.3">
      <c r="A15" t="s">
        <v>19</v>
      </c>
      <c r="B15" s="11">
        <f>SUM(B2:K11)</f>
        <v>110.10000000000001</v>
      </c>
      <c r="L15" s="23"/>
      <c r="M15" s="21"/>
      <c r="N15" s="21"/>
      <c r="O15" s="21"/>
      <c r="P15" s="21"/>
      <c r="Q15" s="21"/>
      <c r="R15" s="21"/>
      <c r="S15" s="21"/>
      <c r="T15" s="22"/>
    </row>
    <row r="16" spans="1:21" ht="21" x14ac:dyDescent="0.4">
      <c r="A16" s="12" t="s">
        <v>22</v>
      </c>
      <c r="B16">
        <f>50/B15</f>
        <v>0.45413260672116257</v>
      </c>
      <c r="L16" s="28" t="s">
        <v>26</v>
      </c>
      <c r="M16" s="29"/>
      <c r="N16" s="21">
        <f>_xlfn.CHISQ.INV(0.05, 5)</f>
        <v>1.1454762260617692</v>
      </c>
      <c r="O16" s="21"/>
      <c r="P16" s="21"/>
      <c r="Q16" s="21"/>
      <c r="R16" s="21"/>
      <c r="S16" s="21"/>
      <c r="T16" s="22"/>
    </row>
    <row r="17" spans="12:20" x14ac:dyDescent="0.3">
      <c r="L17" s="28" t="s">
        <v>27</v>
      </c>
      <c r="M17" s="29"/>
      <c r="N17" s="21">
        <f>CHIINV(0.05, 5)</f>
        <v>11.070497693516353</v>
      </c>
      <c r="O17" s="21"/>
      <c r="P17" s="21"/>
      <c r="Q17" s="21"/>
      <c r="R17" s="21"/>
      <c r="S17" s="21"/>
      <c r="T17" s="22"/>
    </row>
    <row r="18" spans="12:20" ht="15" thickBot="1" x14ac:dyDescent="0.35">
      <c r="L18" s="30" t="s">
        <v>28</v>
      </c>
      <c r="M18" s="31"/>
      <c r="N18" s="24">
        <f>SUM(N13:T13)</f>
        <v>354.48840892989546</v>
      </c>
      <c r="O18" s="24"/>
      <c r="P18" s="24"/>
      <c r="Q18" s="24"/>
      <c r="R18" s="24"/>
      <c r="S18" s="24"/>
      <c r="T18" s="25"/>
    </row>
  </sheetData>
  <mergeCells count="8">
    <mergeCell ref="L16:M16"/>
    <mergeCell ref="L17:M17"/>
    <mergeCell ref="L18:M18"/>
    <mergeCell ref="M10:T10"/>
    <mergeCell ref="L11:M11"/>
    <mergeCell ref="L12:M12"/>
    <mergeCell ref="L13:M13"/>
    <mergeCell ref="L14:M1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F4" zoomScaleNormal="100" workbookViewId="0">
      <selection activeCell="M21" sqref="M21"/>
    </sheetView>
  </sheetViews>
  <sheetFormatPr defaultRowHeight="14.4" x14ac:dyDescent="0.3"/>
  <cols>
    <col min="12" max="12" width="10.21875" customWidth="1"/>
    <col min="14" max="18" width="12.5546875" bestFit="1" customWidth="1"/>
  </cols>
  <sheetData>
    <row r="1" spans="1:19" x14ac:dyDescent="0.3">
      <c r="A1" t="s">
        <v>3</v>
      </c>
      <c r="B1">
        <v>100</v>
      </c>
    </row>
    <row r="2" spans="1:19" x14ac:dyDescent="0.3">
      <c r="A2" t="s">
        <v>20</v>
      </c>
      <c r="B2" s="1">
        <v>0.03</v>
      </c>
      <c r="C2" s="1">
        <v>0.14000000000000001</v>
      </c>
      <c r="D2" s="1">
        <v>0.02</v>
      </c>
      <c r="E2" s="1">
        <v>0.1</v>
      </c>
      <c r="F2" s="1">
        <v>9.4700000000000006</v>
      </c>
      <c r="G2" s="1">
        <v>0.63</v>
      </c>
      <c r="H2" s="1">
        <v>1.04</v>
      </c>
      <c r="I2" s="1">
        <v>2.74</v>
      </c>
      <c r="J2" s="1">
        <v>0.08</v>
      </c>
      <c r="K2" s="1">
        <v>0.3</v>
      </c>
      <c r="L2" s="4" t="s">
        <v>7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6" t="s">
        <v>15</v>
      </c>
    </row>
    <row r="3" spans="1:19" x14ac:dyDescent="0.3">
      <c r="B3" s="1">
        <v>0.08</v>
      </c>
      <c r="C3" s="1">
        <v>0.02</v>
      </c>
      <c r="D3" s="1">
        <v>0.28999999999999998</v>
      </c>
      <c r="E3" s="1">
        <v>0.36</v>
      </c>
      <c r="F3" s="1">
        <v>0.5</v>
      </c>
      <c r="G3" s="1">
        <v>0.03</v>
      </c>
      <c r="H3" s="1">
        <v>2.61</v>
      </c>
      <c r="I3" s="1">
        <v>0.61</v>
      </c>
      <c r="J3" s="1">
        <v>5.44</v>
      </c>
      <c r="K3" s="1">
        <v>3.65</v>
      </c>
      <c r="L3" s="7" t="s">
        <v>8</v>
      </c>
      <c r="M3" s="8">
        <f>COUNTIFS($B$2:$K$11, "&lt;=1,57")</f>
        <v>81</v>
      </c>
      <c r="N3" s="8">
        <f>COUNTIFS($B$2:$K$11, "&gt;1,57",$B$2:$K$11, "&lt;=3,14" )</f>
        <v>11</v>
      </c>
      <c r="O3" s="8">
        <f>COUNTIFS($B$2:$K$11, "&gt;3,14",$B$2:$K$11, "&lt;=4,71" )</f>
        <v>1</v>
      </c>
      <c r="P3" s="8">
        <f>COUNTIFS($B$2:$K$11, "&gt;4,71",$B$2:$K$11, "&lt;=6,28" )</f>
        <v>3</v>
      </c>
      <c r="Q3" s="8">
        <f>COUNTIFS($B$2:$K$11, "&gt;6,28",$B$2:$K$11, "&lt;=7,85" )</f>
        <v>1</v>
      </c>
      <c r="R3" s="8">
        <f>COUNTIFS($B$2:$K$11, "&gt;7,85",$B$2:$K$11, "&lt;=9,42" )</f>
        <v>1</v>
      </c>
      <c r="S3" s="9">
        <f>COUNTIFS($B$2:$K$11, "&gt;9,42",$B$2:$K$11, "&lt;=11" )</f>
        <v>2</v>
      </c>
    </row>
    <row r="4" spans="1:19" x14ac:dyDescent="0.3">
      <c r="B4" s="1">
        <v>0.14000000000000001</v>
      </c>
      <c r="C4" s="1">
        <v>0.04</v>
      </c>
      <c r="D4" s="1">
        <v>4.72</v>
      </c>
      <c r="E4" s="1">
        <v>0.02</v>
      </c>
      <c r="F4" s="1">
        <v>0.01</v>
      </c>
      <c r="G4" s="1">
        <v>0.68</v>
      </c>
      <c r="H4" s="1">
        <v>0.06</v>
      </c>
      <c r="I4" s="1">
        <v>0.12</v>
      </c>
      <c r="J4" s="1">
        <v>0.2</v>
      </c>
      <c r="K4" s="1">
        <v>1.24</v>
      </c>
    </row>
    <row r="5" spans="1:19" x14ac:dyDescent="0.3">
      <c r="B5" s="1">
        <v>1.49</v>
      </c>
      <c r="C5" s="1">
        <v>0.02</v>
      </c>
      <c r="D5" s="1">
        <v>0.08</v>
      </c>
      <c r="E5" s="1">
        <v>0.13</v>
      </c>
      <c r="F5" s="1">
        <v>0.02</v>
      </c>
      <c r="G5" s="1">
        <v>0.64</v>
      </c>
      <c r="H5" s="1">
        <v>0.46</v>
      </c>
      <c r="I5" s="1">
        <v>0.77</v>
      </c>
      <c r="J5" s="1">
        <v>0.28000000000000003</v>
      </c>
      <c r="K5" s="1">
        <v>0.08</v>
      </c>
      <c r="L5" s="2" t="s">
        <v>7</v>
      </c>
      <c r="M5" s="2" t="s">
        <v>32</v>
      </c>
      <c r="N5" s="2" t="s">
        <v>33</v>
      </c>
      <c r="O5" s="2" t="s">
        <v>34</v>
      </c>
      <c r="P5" s="2" t="s">
        <v>35</v>
      </c>
      <c r="Q5" s="2" t="s">
        <v>36</v>
      </c>
      <c r="R5" s="2" t="s">
        <v>37</v>
      </c>
      <c r="S5" s="2" t="s">
        <v>38</v>
      </c>
    </row>
    <row r="6" spans="1:19" x14ac:dyDescent="0.3">
      <c r="B6" s="1">
        <v>0.75</v>
      </c>
      <c r="C6" s="1">
        <v>0</v>
      </c>
      <c r="D6" s="1">
        <v>1.7</v>
      </c>
      <c r="E6" s="1">
        <v>7.0000000000000007E-2</v>
      </c>
      <c r="F6" s="1">
        <v>0.11</v>
      </c>
      <c r="G6" s="1">
        <v>2.2599999999999998</v>
      </c>
      <c r="H6" s="1">
        <v>0.05</v>
      </c>
      <c r="I6" s="1">
        <v>1.2</v>
      </c>
      <c r="J6" s="1">
        <v>0.47</v>
      </c>
      <c r="K6" s="1">
        <v>0.28999999999999998</v>
      </c>
      <c r="L6" s="2" t="s">
        <v>8</v>
      </c>
      <c r="M6" s="2">
        <f>COUNTIFS($B$2:$K$11, "&lt;=0,9")</f>
        <v>72</v>
      </c>
      <c r="N6" s="2">
        <f>COUNTIFS($B$2:$K$11, "&gt;0,9",$B$2:$K$11, "&lt;=1,4" )</f>
        <v>8</v>
      </c>
      <c r="O6" s="2">
        <f>COUNTIFS($B$2:$K$11, "&gt;1,4",$B$2:$K$11, "&lt;=2,2" )</f>
        <v>5</v>
      </c>
      <c r="P6" s="2">
        <f>COUNTIFS($B$2:$K$11, "&gt;2,2",$B$2:$K$11, "&lt;=2,5" )</f>
        <v>3</v>
      </c>
      <c r="Q6" s="2">
        <f>COUNTIFS($B$2:$K$11, "&gt;2,5",$B$2:$K$11, "&lt;=5" )</f>
        <v>6</v>
      </c>
      <c r="R6" s="2">
        <f>COUNTIFS($B$2:$K$11, "&gt;5",$B$2:$K$11, "&lt;=8,5" )</f>
        <v>4</v>
      </c>
      <c r="S6" s="2">
        <f>COUNTIFS($B$2:$K$11, "&gt;8,5",$B$2:$K$11, "&lt;=11" )</f>
        <v>2</v>
      </c>
    </row>
    <row r="7" spans="1:19" x14ac:dyDescent="0.3">
      <c r="B7" s="1">
        <v>0.24</v>
      </c>
      <c r="C7" s="1">
        <v>2.78</v>
      </c>
      <c r="D7" s="1">
        <v>0.13</v>
      </c>
      <c r="E7" s="1">
        <v>1.21</v>
      </c>
      <c r="F7" s="1">
        <v>0.75</v>
      </c>
      <c r="G7" s="1">
        <v>2.29</v>
      </c>
      <c r="H7" s="1">
        <v>8.23</v>
      </c>
      <c r="I7" s="1">
        <v>0.99</v>
      </c>
      <c r="J7" s="1">
        <v>1.98</v>
      </c>
      <c r="K7" s="1">
        <v>0.34</v>
      </c>
      <c r="L7" s="2" t="s">
        <v>16</v>
      </c>
      <c r="M7" s="10">
        <v>0.45</v>
      </c>
      <c r="N7" s="10">
        <v>1.1499999999999999</v>
      </c>
      <c r="O7" s="10">
        <v>1.8</v>
      </c>
      <c r="P7" s="10">
        <v>2.35</v>
      </c>
      <c r="Q7" s="10">
        <v>3.75</v>
      </c>
      <c r="R7" s="10">
        <v>6.75</v>
      </c>
      <c r="S7" s="10">
        <v>9.75</v>
      </c>
    </row>
    <row r="8" spans="1:19" x14ac:dyDescent="0.3">
      <c r="B8" s="1">
        <v>0.72</v>
      </c>
      <c r="C8" s="1">
        <v>0.32</v>
      </c>
      <c r="D8" s="1">
        <v>0.1</v>
      </c>
      <c r="E8" s="1">
        <v>0.34</v>
      </c>
      <c r="F8" s="1">
        <v>0.84</v>
      </c>
      <c r="G8" s="1">
        <v>0.24</v>
      </c>
      <c r="H8" s="1">
        <v>0.82</v>
      </c>
      <c r="I8" s="1">
        <v>0.84</v>
      </c>
      <c r="J8" s="1">
        <v>0.18</v>
      </c>
      <c r="K8" s="1">
        <v>1.89</v>
      </c>
      <c r="L8" s="2" t="s">
        <v>17</v>
      </c>
      <c r="M8" s="2">
        <f>(M6/$B$1)</f>
        <v>0.72</v>
      </c>
      <c r="N8" s="2">
        <f t="shared" ref="N8:S8" si="0">(N6/$B$1)</f>
        <v>0.08</v>
      </c>
      <c r="O8" s="2">
        <f t="shared" si="0"/>
        <v>0.05</v>
      </c>
      <c r="P8" s="2">
        <f t="shared" si="0"/>
        <v>0.03</v>
      </c>
      <c r="Q8" s="2">
        <f t="shared" si="0"/>
        <v>0.06</v>
      </c>
      <c r="R8" s="2">
        <f t="shared" si="0"/>
        <v>0.04</v>
      </c>
      <c r="S8" s="2">
        <f t="shared" si="0"/>
        <v>0.02</v>
      </c>
    </row>
    <row r="9" spans="1:19" x14ac:dyDescent="0.3">
      <c r="B9" s="1">
        <v>0.15</v>
      </c>
      <c r="C9" s="1">
        <v>0.93</v>
      </c>
      <c r="D9" s="1">
        <v>2.0499999999999998</v>
      </c>
      <c r="E9" s="1">
        <v>6.39</v>
      </c>
      <c r="F9" s="1">
        <v>7.0000000000000007E-2</v>
      </c>
      <c r="G9" s="1">
        <v>0.4</v>
      </c>
      <c r="H9" s="1">
        <v>0.15</v>
      </c>
      <c r="I9" s="1">
        <v>0.08</v>
      </c>
      <c r="J9" s="1">
        <v>0.4</v>
      </c>
      <c r="K9" s="1">
        <v>0.25</v>
      </c>
      <c r="L9" s="2" t="s">
        <v>18</v>
      </c>
      <c r="M9" s="2">
        <f>(M8)/(0.9)</f>
        <v>0.79999999999999993</v>
      </c>
      <c r="N9" s="2">
        <f>(N8)/(0.5)</f>
        <v>0.16</v>
      </c>
      <c r="O9" s="2">
        <f>(O8)/(0.8)</f>
        <v>6.25E-2</v>
      </c>
      <c r="P9" s="2">
        <f>(P8)/(0.3)</f>
        <v>0.1</v>
      </c>
      <c r="Q9" s="2">
        <f>(Q8)/(2.5)</f>
        <v>2.4E-2</v>
      </c>
      <c r="R9" s="2">
        <f>(R8)/(3.5)</f>
        <v>1.1428571428571429E-2</v>
      </c>
      <c r="S9" s="2">
        <f>(S8)/(2.5)</f>
        <v>8.0000000000000002E-3</v>
      </c>
    </row>
    <row r="10" spans="1:19" x14ac:dyDescent="0.3">
      <c r="B10" s="1">
        <v>0.54</v>
      </c>
      <c r="C10" s="1">
        <v>0.08</v>
      </c>
      <c r="D10" s="1">
        <v>0.05</v>
      </c>
      <c r="E10" s="1">
        <v>0.02</v>
      </c>
      <c r="F10" s="1">
        <v>5.68</v>
      </c>
      <c r="G10" s="1">
        <v>0.55000000000000004</v>
      </c>
      <c r="H10" s="1">
        <v>3.08</v>
      </c>
      <c r="I10" s="1">
        <v>0.99</v>
      </c>
      <c r="J10" s="1">
        <v>10.61</v>
      </c>
      <c r="K10" s="15">
        <v>1.24</v>
      </c>
      <c r="L10" s="13" t="s">
        <v>21</v>
      </c>
      <c r="M10" s="14">
        <f>(2*$B$16)/(POWER(1+$B$16*M7,3))</f>
        <v>0.6497843394921009</v>
      </c>
      <c r="N10" s="14">
        <f t="shared" ref="N10:S10" si="1">(2*$B$16)/(POWER(1+$B$16*N7,3))</f>
        <v>0.21255833944479197</v>
      </c>
      <c r="O10" s="14">
        <f t="shared" si="1"/>
        <v>9.9302789232608629E-2</v>
      </c>
      <c r="P10" s="14">
        <f t="shared" si="1"/>
        <v>5.8988826385602676E-2</v>
      </c>
      <c r="Q10" s="14">
        <f t="shared" si="1"/>
        <v>2.1237862744607362E-2</v>
      </c>
      <c r="R10" s="14">
        <f t="shared" si="1"/>
        <v>5.0099074324781515E-3</v>
      </c>
      <c r="S10" s="14">
        <f t="shared" si="1"/>
        <v>1.8975592405356674E-3</v>
      </c>
    </row>
    <row r="11" spans="1:19" x14ac:dyDescent="0.3">
      <c r="B11" s="1">
        <v>0.6</v>
      </c>
      <c r="C11" s="1">
        <v>0.3</v>
      </c>
      <c r="D11" s="1">
        <v>0.04</v>
      </c>
      <c r="E11" s="1">
        <v>0.05</v>
      </c>
      <c r="F11" s="1">
        <v>0.81</v>
      </c>
      <c r="G11" s="1">
        <v>0.16</v>
      </c>
      <c r="H11" s="1">
        <v>0.05</v>
      </c>
      <c r="I11" s="1">
        <v>2.25</v>
      </c>
      <c r="J11" s="1">
        <v>0.35</v>
      </c>
      <c r="K11" s="15">
        <v>0.31</v>
      </c>
    </row>
    <row r="12" spans="1:19" x14ac:dyDescent="0.3">
      <c r="A12" t="s">
        <v>0</v>
      </c>
      <c r="B12">
        <f>MIN(B2:K11)</f>
        <v>0</v>
      </c>
      <c r="C12" s="2" t="s">
        <v>4</v>
      </c>
      <c r="D12" s="2">
        <v>0</v>
      </c>
      <c r="L12" t="s">
        <v>39</v>
      </c>
      <c r="M12">
        <v>0</v>
      </c>
      <c r="N12">
        <v>0.9</v>
      </c>
      <c r="O12">
        <v>1.4</v>
      </c>
      <c r="P12">
        <v>2.2000000000000002</v>
      </c>
      <c r="Q12">
        <v>2.5</v>
      </c>
      <c r="R12">
        <v>5</v>
      </c>
      <c r="S12">
        <v>8.5</v>
      </c>
    </row>
    <row r="13" spans="1:19" x14ac:dyDescent="0.3">
      <c r="A13" t="s">
        <v>1</v>
      </c>
      <c r="B13">
        <f>MAX(B2:K11)</f>
        <v>10.61</v>
      </c>
      <c r="C13" s="2" t="s">
        <v>5</v>
      </c>
      <c r="D13" s="2">
        <v>11</v>
      </c>
      <c r="L13" t="s">
        <v>40</v>
      </c>
      <c r="M13">
        <v>0.9</v>
      </c>
      <c r="N13">
        <v>1.4</v>
      </c>
      <c r="O13">
        <v>2.2000000000000002</v>
      </c>
      <c r="P13">
        <v>2.5</v>
      </c>
      <c r="Q13">
        <v>5</v>
      </c>
      <c r="R13">
        <v>8.5</v>
      </c>
      <c r="S13">
        <v>11</v>
      </c>
    </row>
    <row r="14" spans="1:19" ht="15" thickBot="1" x14ac:dyDescent="0.35">
      <c r="A14" t="s">
        <v>2</v>
      </c>
      <c r="B14">
        <f>1+INT(LOG(B1,2))</f>
        <v>7</v>
      </c>
      <c r="C14" s="3" t="s">
        <v>6</v>
      </c>
      <c r="D14">
        <f>(D13-D12)/B14</f>
        <v>1.5714285714285714</v>
      </c>
    </row>
    <row r="15" spans="1:19" x14ac:dyDescent="0.3">
      <c r="A15" t="s">
        <v>19</v>
      </c>
      <c r="B15" s="11">
        <f>SUM(B2:K11)</f>
        <v>110.10000000000001</v>
      </c>
      <c r="K15" s="34" t="s">
        <v>29</v>
      </c>
      <c r="L15" s="32"/>
      <c r="M15" s="26">
        <f>(2*$B$16)/(POWER(1+$B$16*M12,3))-(2*$B$16)/(POWER(1+$B$16*M13,3))</f>
        <v>1.5139342980628041</v>
      </c>
      <c r="N15" s="26">
        <f t="shared" ref="N15:S15" si="2">(2*$B$16)/(POWER(1+$B$16*N12,3))-(2*$B$16)/(POWER(1+$B$16*N13,3))</f>
        <v>0.14762044603943117</v>
      </c>
      <c r="O15" s="26">
        <f t="shared" si="2"/>
        <v>8.7574415752162599E-2</v>
      </c>
      <c r="P15" s="26">
        <f t="shared" si="2"/>
        <v>1.548119700948504E-2</v>
      </c>
      <c r="Q15" s="26">
        <f t="shared" si="2"/>
        <v>4.1244242255587565E-2</v>
      </c>
      <c r="R15" s="26">
        <f t="shared" si="2"/>
        <v>7.9364291963565838E-3</v>
      </c>
      <c r="S15" s="27">
        <f t="shared" si="2"/>
        <v>1.3712260882055478E-3</v>
      </c>
    </row>
    <row r="16" spans="1:19" ht="21" x14ac:dyDescent="0.4">
      <c r="A16" s="12" t="s">
        <v>30</v>
      </c>
      <c r="B16">
        <f>1/B17</f>
        <v>0.90826521344232514</v>
      </c>
      <c r="K16" s="28" t="s">
        <v>24</v>
      </c>
      <c r="L16" s="29"/>
      <c r="M16" s="16">
        <f>$B$1*M15</f>
        <v>151.39342980628041</v>
      </c>
      <c r="N16" s="16">
        <f t="shared" ref="N16:S16" si="3">$B$1*N15</f>
        <v>14.762044603943117</v>
      </c>
      <c r="O16" s="16">
        <f t="shared" si="3"/>
        <v>8.7574415752162604</v>
      </c>
      <c r="P16" s="16">
        <f t="shared" si="3"/>
        <v>1.5481197009485039</v>
      </c>
      <c r="Q16" s="16">
        <f t="shared" si="3"/>
        <v>4.1244242255587569</v>
      </c>
      <c r="R16" s="16">
        <f t="shared" si="3"/>
        <v>0.79364291963565836</v>
      </c>
      <c r="S16" s="17">
        <f t="shared" si="3"/>
        <v>0.13712260882055477</v>
      </c>
    </row>
    <row r="17" spans="1:19" x14ac:dyDescent="0.3">
      <c r="A17" t="s">
        <v>31</v>
      </c>
      <c r="B17">
        <f>B15/B1</f>
        <v>1.101</v>
      </c>
      <c r="K17" s="28" t="s">
        <v>25</v>
      </c>
      <c r="L17" s="29"/>
      <c r="M17" s="16">
        <f>((M16-M6)^2)/M16</f>
        <v>41.635338498311022</v>
      </c>
      <c r="N17" s="16">
        <f t="shared" ref="N17:R17" si="4">((N16-N6)^2)/N16</f>
        <v>3.0974874045227092</v>
      </c>
      <c r="O17" s="16">
        <f t="shared" si="4"/>
        <v>1.6121565950401453</v>
      </c>
      <c r="P17" s="16">
        <f t="shared" si="4"/>
        <v>1.3616236531854455</v>
      </c>
      <c r="Q17" s="16">
        <f t="shared" si="4"/>
        <v>0.85291529030195645</v>
      </c>
      <c r="R17" s="16">
        <f t="shared" si="4"/>
        <v>12.953842934202914</v>
      </c>
      <c r="S17" s="17">
        <f>((S16-S6)^2)/S16</f>
        <v>25.308096195201131</v>
      </c>
    </row>
    <row r="18" spans="1:19" x14ac:dyDescent="0.3">
      <c r="K18" s="28"/>
      <c r="L18" s="29"/>
      <c r="M18" s="16"/>
      <c r="N18" s="16"/>
      <c r="O18" s="16"/>
      <c r="P18" s="16"/>
      <c r="Q18" s="16"/>
      <c r="R18" s="16"/>
      <c r="S18" s="17"/>
    </row>
    <row r="19" spans="1:19" x14ac:dyDescent="0.3">
      <c r="K19" s="23"/>
      <c r="L19" s="21"/>
      <c r="M19" s="21"/>
      <c r="N19" s="16"/>
      <c r="O19" s="16"/>
      <c r="P19" s="16"/>
      <c r="Q19" s="16"/>
      <c r="R19" s="16"/>
      <c r="S19" s="17"/>
    </row>
    <row r="20" spans="1:19" x14ac:dyDescent="0.3">
      <c r="K20" s="28" t="s">
        <v>26</v>
      </c>
      <c r="L20" s="29"/>
      <c r="M20" s="21">
        <f>_xlfn.CHISQ.INV(0.05, 5)</f>
        <v>1.1454762260617692</v>
      </c>
      <c r="N20" s="16"/>
      <c r="O20" s="16"/>
      <c r="P20" s="16"/>
      <c r="Q20" s="16"/>
      <c r="R20" s="16"/>
      <c r="S20" s="17"/>
    </row>
    <row r="21" spans="1:19" x14ac:dyDescent="0.3">
      <c r="K21" s="28" t="s">
        <v>27</v>
      </c>
      <c r="L21" s="29"/>
      <c r="M21" s="21">
        <f>CHIINV(0.05, 5)</f>
        <v>11.070497693516353</v>
      </c>
      <c r="N21" s="16"/>
      <c r="O21" s="16"/>
      <c r="P21" s="16"/>
      <c r="Q21" s="16"/>
      <c r="R21" s="16"/>
      <c r="S21" s="17"/>
    </row>
    <row r="22" spans="1:19" ht="15" thickBot="1" x14ac:dyDescent="0.35">
      <c r="K22" s="30" t="s">
        <v>28</v>
      </c>
      <c r="L22" s="31"/>
      <c r="M22" s="24">
        <f>SUM(M17:S17)</f>
        <v>86.821460570765325</v>
      </c>
      <c r="N22" s="18"/>
      <c r="O22" s="18"/>
      <c r="P22" s="18"/>
      <c r="Q22" s="18"/>
      <c r="R22" s="18"/>
      <c r="S22" s="19"/>
    </row>
  </sheetData>
  <mergeCells count="7">
    <mergeCell ref="K20:L20"/>
    <mergeCell ref="K21:L21"/>
    <mergeCell ref="K22:L22"/>
    <mergeCell ref="K15:L15"/>
    <mergeCell ref="K16:L16"/>
    <mergeCell ref="K17:L17"/>
    <mergeCell ref="K18:L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2021-04-22T16:12:23Z</dcterms:modified>
</cp:coreProperties>
</file>