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01b0879c1679a6e9/Documentos/Excel/Curso-de-Excel-Alura/"/>
    </mc:Choice>
  </mc:AlternateContent>
  <xr:revisionPtr revIDLastSave="11" documentId="8_{27DC472D-DE4C-47D9-BE58-73CA3C764087}" xr6:coauthVersionLast="47" xr6:coauthVersionMax="47" xr10:uidLastSave="{B25E0AFB-FA20-401F-AF37-B081BA7D9609}"/>
  <bookViews>
    <workbookView xWindow="19200" yWindow="0" windowWidth="19200" windowHeight="15600" tabRatio="698" firstSheet="2" activeTab="6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esafio 1" sheetId="33" r:id="rId7"/>
    <sheet name="Dados para Gráficos" sheetId="19" state="hidden" r:id="rId8"/>
    <sheet name="Dashboard" sheetId="18" state="hidden" r:id="rId9"/>
  </sheets>
  <definedNames>
    <definedName name="_xlnm._FilterDatabase" localSheetId="3" hidden="1">Vendas!$C$4:$F$86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33" l="1"/>
  <c r="F9" i="33"/>
  <c r="F6" i="33"/>
  <c r="F3" i="33"/>
  <c r="H30" i="16" l="1"/>
  <c r="I30" i="16" s="1"/>
  <c r="H33" i="16"/>
  <c r="I33" i="16" s="1"/>
  <c r="H34" i="16"/>
  <c r="I34" i="16" s="1"/>
  <c r="H66" i="16"/>
  <c r="I66" i="16" s="1"/>
  <c r="H69" i="16"/>
  <c r="I69" i="16" s="1"/>
  <c r="H70" i="16"/>
  <c r="I70" i="16" s="1"/>
  <c r="E5" i="16"/>
  <c r="H5" i="16" s="1"/>
  <c r="I5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E31" i="16"/>
  <c r="H31" i="16" s="1"/>
  <c r="I31" i="16" s="1"/>
  <c r="E32" i="16"/>
  <c r="H32" i="16" s="1"/>
  <c r="I32" i="16" s="1"/>
  <c r="E33" i="16"/>
  <c r="E34" i="16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E67" i="16"/>
  <c r="H67" i="16" s="1"/>
  <c r="I67" i="16" s="1"/>
  <c r="E68" i="16"/>
  <c r="H68" i="16" s="1"/>
  <c r="I68" i="16" s="1"/>
  <c r="E69" i="16"/>
  <c r="E70" i="16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2" i="24" a="1"/>
  <c r="C12" i="24" s="1"/>
  <c r="C13" i="24"/>
  <c r="C11" i="24" a="1"/>
  <c r="C11" i="24" s="1"/>
  <c r="F7" i="24"/>
  <c r="C8" i="24" a="1"/>
  <c r="C8" i="24" s="1"/>
  <c r="C7" i="24"/>
  <c r="C10" i="24"/>
  <c r="C9" i="24"/>
  <c r="F9" i="24"/>
  <c r="L51" i="16" l="1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<sst xmlns="http://schemas.openxmlformats.org/spreadsheetml/2006/main" count="516" uniqueCount="178">
  <si>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</si>
  <si>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</si>
  <si>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</si>
  <si>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</si>
  <si>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</si>
  <si>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</si>
  <si>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</si>
  <si>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</si>
  <si>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</si>
  <si>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</si>
  <si>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</si>
  <si>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</si>
  <si>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</si>
  <si>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</si>
  <si>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</si>
  <si>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</si>
  <si>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</si>
  <si>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</si>
  <si>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</si>
  <si>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</si>
  <si>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</si>
  <si>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</si>
  <si>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</si>
  <si>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</si>
  <si>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</si>
  <si>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</si>
  <si>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</si>
  <si>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</si>
  <si>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</si>
  <si>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</si>
  <si>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</si>
  <si>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</si>
  <si>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</si>
  <si>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</si>
  <si>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</si>
  <si>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</si>
  <si>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</si>
  <si>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</si>
  <si>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</si>
  <si>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</si>
  <si>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</si>
  <si>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</si>
  <si>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</si>
  <si>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</si>
  <si>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</si>
  <si>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</si>
  <si>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</si>
  <si>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</si>
  <si>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</si>
  <si>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</si>
  <si>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</si>
  <si>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</si>
  <si>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</si>
  <si>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</si>
  <si>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</si>
  <si>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</si>
  <si>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</si>
  <si>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</si>
  <si>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</si>
  <si>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</si>
  <si>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</si>
  <si>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</si>
  <si>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</si>
  <si>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</si>
  <si>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</si>
  <si>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</si>
  <si>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</si>
  <si>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</si>
  <si>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</si>
  <si>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</si>
  <si>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</si>
  <si>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</si>
  <si>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</si>
  <si>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</si>
  <si>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</si>
  <si>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</si>
  <si>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</si>
  <si>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</si>
  <si>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</si>
  <si>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</si>
  <si>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</si>
  <si>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</si>
  <si>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</si>
  <si>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</si>
  <si>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</si>
  <si>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</si>
  <si>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</si>
  <si>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</si>
  <si>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</si>
  <si>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</si>
  <si>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</si>
  <si>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</si>
  <si>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</si>
  <si>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</si>
  <si>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</si>
  <si>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</si>
  <si>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</si>
  <si>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</si>
  <si>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</si>
  <si>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</si>
  <si>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</si>
  <si>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</si>
  <si>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</si>
  <si>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</si>
  <si>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</si>
  <si>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</si>
  <si>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</si>
  <si>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</si>
  <si>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</si>
  <si>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</si>
  <si>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</si>
  <si>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</si>
  <si>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</si>
  <si>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</si>
  <si>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</si>
  <si>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</si>
  <si>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</si>
  <si>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</si>
  <si>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</si>
  <si>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</si>
  <si>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</si>
  <si>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</si>
  <si>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</si>
  <si>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</si>
  <si>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</si>
  <si>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</si>
  <si>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</si>
  <si>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</si>
  <si>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</si>
  <si>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</si>
  <si>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</si>
  <si>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</si>
  <si>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</si>
  <si>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</si>
  <si>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</si>
  <si>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</si>
  <si>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</si>
  <si>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</si>
  <si>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</si>
  <si>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</si>
  <si>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</si>
  <si>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</si>
  <si>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</si>
  <si>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</si>
  <si>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</si>
  <si>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</si>
  <si>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</si>
  <si>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</si>
  <si>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</si>
  <si>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</si>
  <si>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</si>
  <si>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</si>
  <si>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</si>
  <si>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</si>
  <si>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</si>
  <si>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</si>
  <si>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</si>
  <si>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</si>
  <si>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</si>
  <si>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</si>
  <si>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</si>
  <si>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</si>
  <si>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</si>
  <si>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</si>
  <si>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</si>
  <si>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</si>
  <si>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</si>
  <si>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</si>
  <si>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</si>
  <si>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</si>
  <si>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</si>
  <si>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</si>
  <si>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</si>
  <si>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Lista Simplificada</t>
  </si>
  <si>
    <t>Ache um produto com aproximadamente 35 quantidades</t>
  </si>
  <si>
    <t>Responda sim, se houver uma bermuda que custa 65,90</t>
  </si>
  <si>
    <t>Ache o preço do produto que tenha aproximadamente 20 quantidades</t>
  </si>
  <si>
    <t>Qual o produto mais caro da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</si>
</sst>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3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1"/>
      <color theme="0"/>
      <name val="Montserrat"/>
    </font>
    <font>
      <sz val="14"/>
      <color theme="1"/>
      <name val="Calibri"/>
      <family val="2"/>
      <scheme val="minor"/>
    </font>
    <font>
      <b/>
      <sz val="14"/>
      <color theme="0"/>
      <name val="Montserrat"/>
    </font>
    <font>
      <sz val="11"/>
      <name val="Calibri"/>
      <family val="2"/>
      <scheme val="minor"/>
    </font>
    <font>
      <sz val="11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165" fontId="24" fillId="7" borderId="27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9" fontId="26" fillId="0" borderId="0" xfId="5" applyFont="1" applyFill="1"/>
    <xf numFmtId="0" fontId="14" fillId="6" borderId="16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28" fillId="0" borderId="0" xfId="0" applyFont="1"/>
    <xf numFmtId="0" fontId="29" fillId="8" borderId="0" xfId="0" applyFont="1" applyFill="1"/>
    <xf numFmtId="0" fontId="29" fillId="0" borderId="2" xfId="0" applyFont="1" applyBorder="1" applyAlignment="1">
      <alignment vertical="center"/>
    </xf>
    <xf numFmtId="0" fontId="29" fillId="0" borderId="34" xfId="0" applyFont="1" applyBorder="1" applyAlignment="1">
      <alignment horizontal="center" vertical="center"/>
    </xf>
    <xf numFmtId="165" fontId="29" fillId="0" borderId="3" xfId="0" applyNumberFormat="1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35" xfId="0" applyFont="1" applyBorder="1" applyAlignment="1">
      <alignment horizontal="center" vertical="center"/>
    </xf>
    <xf numFmtId="165" fontId="29" fillId="0" borderId="6" xfId="0" applyNumberFormat="1" applyFont="1" applyBorder="1" applyAlignment="1">
      <alignment vertical="center"/>
    </xf>
    <xf numFmtId="165" fontId="29" fillId="8" borderId="0" xfId="0" applyNumberFormat="1" applyFont="1" applyFill="1"/>
    <xf numFmtId="0" fontId="31" fillId="0" borderId="0" xfId="0" applyFont="1"/>
    <xf numFmtId="0" fontId="32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500379</xdr:colOff>
      <xdr:row>0</xdr:row>
      <xdr:rowOff>452754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7E4BBD-7E98-4FD1-A05A-C777961EE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0"/>
    <tableColumn id="2" xr3:uid="{E100D4E2-C3A0-43FF-A1D9-90A4BC2A9918}" name="Produtos"/>
    <tableColumn id="3" xr3:uid="{2EF7FEE0-6B6F-4534-86A0-46B6555B7BEF}" name="Tamanho" dataDxfId="19"/>
    <tableColumn id="4" xr3:uid="{4435A4B8-E7F0-4D66-A4F8-6A9FEAA36D5A}" name="Categoria"/>
    <tableColumn id="6" xr3:uid="{15F9CACC-A558-4A20-80CF-C2ADA2603221}" name="Estoque" dataDxfId="18"/>
    <tableColumn id="5" xr3:uid="{CA8AD0DE-58EC-4839-85FB-1DD75DA28087}" name="Preço Unitá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16" dataDxfId="15" headerRowCellStyle="Cabeçalho Meteora">
  <autoFilter ref="A4:N86" xr:uid="{AD739091-30BD-4C30-BDDA-7504C0C4B6E2}"/>
  <tableColumns count="14">
    <tableColumn id="7" xr3:uid="{5E8DE7C3-CDB6-4314-A5CC-C44D3C21973F}" name="Nº" dataDxfId="14">
      <calculatedColumnFormula>MONTH(TB_Vendas[[#This Row],[Data]])</calculatedColumnFormula>
    </tableColumn>
    <tableColumn id="10" xr3:uid="{BD1ABB49-B48B-4C50-A034-45488FDC03A8}" name="Mês" dataDxfId="13">
      <calculatedColumnFormula>PROPER(TEXT(DATE(,TB_Vendas[[#This Row],[Nº]],1),"Mmm"))</calculatedColumnFormula>
    </tableColumn>
    <tableColumn id="1" xr3:uid="{43632F1F-6978-4CE7-BB13-7CCE587D6821}" name="Data" dataDxfId="12"/>
    <tableColumn id="12" xr3:uid="{205A55AB-454E-4288-AE23-042C3C399E7A}" name="Código" dataDxfId="11"/>
    <tableColumn id="16" xr3:uid="{059789B1-50A2-47F3-849D-D1EE26B94731}" name="Categoria" dataDxfId="10">
      <calculatedColumnFormula>_xlfn.XLOOKUP(TB_Vendas[[#This Row],[Código]],TB_Produtos[Código],TB_Produtos[Categoria])</calculatedColumnFormula>
    </tableColumn>
    <tableColumn id="5" xr3:uid="{7DC2ADED-AF8A-4BC8-A38E-FEF676FE49C9}" name="Qtd" dataDxfId="9"/>
    <tableColumn id="9" xr3:uid="{05B7315B-2774-41BC-AFEC-4A19E452D6C7}" name="Preço Unitário" dataDxfId="8">
      <calculatedColumnFormula>VLOOKUP(TB_Vendas[[#This Row],[Código]],Produtos!$B$6:$G$66,6,0)</calculatedColumnFormula>
    </tableColumn>
    <tableColumn id="18" xr3:uid="{152BED38-8D5F-4FAA-8C38-58740E2353E5}" name="Indice" dataDxfId="7">
      <calculatedColumnFormula>_xlfn.XMATCH(TB_Vendas[[#This Row],[Categoria]],Desc_Categorias,0)</calculatedColumnFormula>
    </tableColumn>
    <tableColumn id="17" xr3:uid="{C4E78734-94D7-4D31-B07D-5609B855AC0F}" name="Desconto _x000a_(Passo a Passo)" dataDxfId="6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5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4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3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5" zeroHeight="1"/>
  <cols>
    <col min="1" max="5" width="8.85546875" style="37" customWidth="1"/>
    <col min="6" max="12" width="8.85546875" customWidth="1"/>
    <col min="13" max="16384" width="8.85546875" hidden="1"/>
  </cols>
  <sheetData>
    <row r="1" spans="1:12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</row>
    <row r="2" spans="1:12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</row>
    <row r="3" spans="1:12">
      <c r="A3" s="10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</row>
    <row r="4" spans="1:12">
      <c r="A4" s="10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</row>
    <row r="5" spans="1:12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</row>
    <row r="6" spans="1:12">
      <c r="A6" s="10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</row>
    <row r="7" spans="1:12">
      <c r="F7" s="37"/>
      <c r="G7" s="37"/>
      <c r="H7" s="37"/>
      <c r="I7" s="37"/>
      <c r="J7" s="37"/>
      <c r="K7" s="37"/>
      <c r="L7" s="37"/>
    </row>
    <row r="8" spans="1:12">
      <c r="F8" s="37"/>
      <c r="G8" s="37"/>
      <c r="H8" s="37"/>
      <c r="I8" s="37"/>
      <c r="J8" s="37"/>
      <c r="K8" s="37"/>
      <c r="L8" s="37"/>
    </row>
    <row r="9" spans="1:12">
      <c r="F9" s="37"/>
      <c r="G9" s="37"/>
      <c r="H9" s="37"/>
      <c r="I9" s="37"/>
      <c r="J9" s="37"/>
      <c r="K9" s="37"/>
      <c r="L9" s="37"/>
    </row>
    <row r="10" spans="1:12">
      <c r="F10" s="37"/>
      <c r="G10" s="37"/>
      <c r="H10" s="37"/>
      <c r="I10" s="37"/>
      <c r="J10" s="37"/>
      <c r="K10" s="37"/>
      <c r="L10" s="37"/>
    </row>
    <row r="11" spans="1:12">
      <c r="F11" s="37"/>
      <c r="G11" s="37"/>
      <c r="H11" s="37"/>
      <c r="I11" s="37"/>
      <c r="J11" s="37"/>
      <c r="K11" s="37"/>
      <c r="L11" s="37"/>
    </row>
    <row r="12" spans="1:12">
      <c r="F12" s="37"/>
      <c r="G12" s="37"/>
      <c r="H12" s="37"/>
      <c r="I12" s="37"/>
      <c r="J12" s="37"/>
      <c r="K12" s="37"/>
      <c r="L12" s="37"/>
    </row>
    <row r="13" spans="1:12">
      <c r="F13" s="37"/>
      <c r="G13" s="37"/>
      <c r="H13" s="37"/>
      <c r="I13" s="37"/>
      <c r="J13" s="37"/>
      <c r="K13" s="37"/>
      <c r="L13" s="37"/>
    </row>
    <row r="14" spans="1:12">
      <c r="F14" s="37"/>
      <c r="G14" s="37"/>
      <c r="H14" s="37"/>
      <c r="I14" s="37"/>
      <c r="J14" s="37"/>
      <c r="K14" s="37"/>
      <c r="L14" s="37"/>
    </row>
    <row r="15" spans="1:12">
      <c r="F15" s="37"/>
      <c r="G15" s="37"/>
      <c r="H15" s="37"/>
      <c r="I15" s="37"/>
      <c r="J15" s="37"/>
      <c r="K15" s="37"/>
      <c r="L15" s="37"/>
    </row>
    <row r="16" spans="1:12">
      <c r="F16" s="37"/>
      <c r="G16" s="37"/>
      <c r="H16" s="37"/>
      <c r="I16" s="37"/>
      <c r="J16" s="37"/>
      <c r="K16" s="37"/>
      <c r="L16" s="37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selection activeCell="F6" sqref="F6:F14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37" customFormat="1" ht="40.15" customHeight="1">
      <c r="A1" s="40"/>
      <c r="B1" s="44" t="s">
        <v>133</v>
      </c>
      <c r="C1" s="44"/>
      <c r="D1" s="44"/>
      <c r="E1" s="44"/>
      <c r="F1" s="44"/>
      <c r="G1" s="44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18" customHeight="1">
      <c r="A4" s="43"/>
      <c r="B4" s="43"/>
      <c r="D4" s="39"/>
      <c r="E4" s="39"/>
      <c r="F4" s="39"/>
    </row>
    <row r="5" spans="1:9" ht="4.9000000000000004" customHeight="1">
      <c r="A5" s="39"/>
      <c r="B5" s="39"/>
      <c r="C5" s="39"/>
      <c r="D5" s="39"/>
      <c r="E5" s="39"/>
      <c r="F5" s="39"/>
    </row>
    <row r="6" spans="1:9" s="1" customFormat="1" ht="18.75">
      <c r="B6" s="33" t="s">
        <v>30</v>
      </c>
      <c r="C6" s="33" t="s">
        <v>0</v>
      </c>
      <c r="D6" s="33" t="s">
        <v>1</v>
      </c>
      <c r="E6" s="33" t="s">
        <v>10</v>
      </c>
      <c r="F6" s="33" t="s">
        <v>77</v>
      </c>
      <c r="G6" s="33" t="s">
        <v>11</v>
      </c>
      <c r="H6" s="33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2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2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2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2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2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2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2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2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2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8</v>
      </c>
      <c r="G55" s="32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2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2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2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2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2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2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selection activeCell="D7" sqref="D7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37" customFormat="1" ht="40.15" customHeight="1">
      <c r="A1" s="40"/>
      <c r="B1" s="102" t="s">
        <v>133</v>
      </c>
      <c r="C1" s="102"/>
      <c r="D1" s="42"/>
      <c r="E1" s="42"/>
    </row>
    <row r="2" spans="1:5" s="38" customFormat="1" ht="4.5" customHeight="1">
      <c r="A2" s="41"/>
      <c r="B2" s="41"/>
    </row>
    <row r="3" spans="1:5" ht="4.5" customHeight="1" thickBot="1">
      <c r="A3" s="39"/>
      <c r="B3" s="39"/>
    </row>
    <row r="4" spans="1:5" ht="21.75">
      <c r="A4" s="49" t="s">
        <v>30</v>
      </c>
      <c r="B4" s="55" t="s">
        <v>74</v>
      </c>
      <c r="C4" s="55" t="s">
        <v>145</v>
      </c>
      <c r="D4" s="50" t="s">
        <v>146</v>
      </c>
    </row>
    <row r="5" spans="1:5" ht="22.5" customHeight="1">
      <c r="A5" s="61" t="s">
        <v>126</v>
      </c>
      <c r="B5" s="54" t="s">
        <v>73</v>
      </c>
      <c r="C5" s="54" t="s">
        <v>147</v>
      </c>
      <c r="D5" s="64">
        <v>0.2</v>
      </c>
    </row>
    <row r="6" spans="1:5" ht="22.5" customHeight="1">
      <c r="A6" s="61" t="s">
        <v>127</v>
      </c>
      <c r="B6" s="54" t="s">
        <v>75</v>
      </c>
      <c r="C6" s="54" t="s">
        <v>148</v>
      </c>
      <c r="D6" s="64">
        <v>0.15</v>
      </c>
    </row>
    <row r="7" spans="1:5" ht="22.5" customHeight="1">
      <c r="A7" s="61" t="s">
        <v>128</v>
      </c>
      <c r="B7" s="54" t="s">
        <v>72</v>
      </c>
      <c r="C7" s="54" t="s">
        <v>149</v>
      </c>
      <c r="D7" s="64">
        <v>0.1</v>
      </c>
    </row>
    <row r="8" spans="1:5" ht="22.5" customHeight="1">
      <c r="A8" s="61" t="s">
        <v>129</v>
      </c>
      <c r="B8" s="54" t="s">
        <v>131</v>
      </c>
      <c r="C8" s="54" t="s">
        <v>150</v>
      </c>
      <c r="D8" s="64">
        <v>0.2</v>
      </c>
    </row>
    <row r="9" spans="1:5" ht="22.5" customHeight="1" thickBot="1">
      <c r="A9" s="62" t="s">
        <v>130</v>
      </c>
      <c r="B9" s="63" t="s">
        <v>132</v>
      </c>
      <c r="C9" s="63" t="s">
        <v>151</v>
      </c>
      <c r="D9" s="65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Normal="100" workbookViewId="0">
      <selection activeCell="F12" sqref="F12"/>
    </sheetView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6.7109375" style="1" customWidth="1"/>
    <col min="6" max="6" width="10.140625" bestFit="1" customWidth="1"/>
    <col min="7" max="7" width="18.7109375" customWidth="1"/>
    <col min="8" max="8" width="13.140625" bestFit="1" customWidth="1"/>
    <col min="9" max="10" width="16" customWidth="1"/>
    <col min="11" max="12" width="17" customWidth="1"/>
    <col min="13" max="13" width="20.28515625" customWidth="1"/>
    <col min="14" max="14" width="17" bestFit="1" customWidth="1"/>
  </cols>
  <sheetData>
    <row r="1" spans="1:14" s="37" customFormat="1" ht="40.15" customHeight="1">
      <c r="A1" s="40"/>
      <c r="C1" s="44" t="s">
        <v>134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</row>
    <row r="2" spans="1:14" s="38" customFormat="1" ht="4.5" customHeight="1">
      <c r="A2" s="41"/>
      <c r="B2" s="41"/>
      <c r="C2" s="41"/>
      <c r="D2" s="41"/>
      <c r="E2" s="41"/>
      <c r="F2" s="41"/>
    </row>
    <row r="3" spans="1:14" ht="4.5" customHeight="1">
      <c r="A3" s="39"/>
      <c r="B3" s="39"/>
      <c r="C3" s="39"/>
      <c r="D3" s="39"/>
      <c r="E3" s="39"/>
      <c r="F3" s="39"/>
    </row>
    <row r="4" spans="1:14" s="84" customFormat="1" ht="37.5">
      <c r="A4" s="81" t="s">
        <v>125</v>
      </c>
      <c r="B4" s="82" t="s">
        <v>31</v>
      </c>
      <c r="C4" s="82" t="s">
        <v>76</v>
      </c>
      <c r="D4" s="82" t="s">
        <v>30</v>
      </c>
      <c r="E4" s="82" t="s">
        <v>10</v>
      </c>
      <c r="F4" s="82" t="s">
        <v>15</v>
      </c>
      <c r="G4" s="82" t="s">
        <v>11</v>
      </c>
      <c r="H4" s="82" t="s">
        <v>168</v>
      </c>
      <c r="I4" s="85" t="s">
        <v>169</v>
      </c>
      <c r="J4" s="85" t="s">
        <v>170</v>
      </c>
      <c r="K4" s="85" t="s">
        <v>171</v>
      </c>
      <c r="L4" s="82" t="s">
        <v>172</v>
      </c>
      <c r="M4" s="83" t="s">
        <v>16</v>
      </c>
      <c r="N4" s="82" t="s">
        <v>74</v>
      </c>
    </row>
    <row r="5" spans="1:14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>
        <f>_xlfn.XLOOKUP(TB_Vendas[[#This Row],[Código]],TB_Produtos[Código],TB_Produtos[Categoria])</f>
        <v>Acessórios</v>
      </c>
      <c r="F5" s="1">
        <v>1</v>
      </c>
      <c r="G5" s="28">
        <f>VLOOKUP(TB_Vendas[[#This Row],[Código]],Produtos!$B$6:$G$66,6,0)</f>
        <v>39.9</v>
      </c>
      <c r="H5" s="1">
        <f>_xlfn.XMATCH(TB_Vendas[[#This Row],[Categoria]],Desc_Categorias,0)</f>
        <v>2</v>
      </c>
      <c r="I5" s="67">
        <f>VLOOKUP(TB_Vendas[[#This Row],[Qtd]],Desc_TabelaToda,TB_Vendas[[#This Row],[Indice]],TRUE)</f>
        <v>0</v>
      </c>
      <c r="J5" s="67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67">
        <f>_xlfn.XLOOKUP(TB_Vendas[[#This Row],[Vendedor]],Vendedores!$A$5:$A$9,Vendedores!$D$5:$D$9)</f>
        <v>0.15</v>
      </c>
      <c r="L5" s="67">
        <f>IF(TB_Vendas[[#This Row],[Desconto 
(Diretão)]]&lt;=TB_Vendas[[#This Row],[Desconto 
(Vendedor)]],TB_Vendas[[#This Row],[Desconto 
(Diretão)]],TB_Vendas[[#This Row],[Desconto 
(Vendedor)]])</f>
        <v>0</v>
      </c>
      <c r="M5" s="8">
        <f>TB_Vendas[[#This Row],[Preço Unitário]]*TB_Vendas[[#This Row],[Qtd]]</f>
        <v>39.9</v>
      </c>
      <c r="N5" s="1" t="s">
        <v>127</v>
      </c>
    </row>
    <row r="6" spans="1:14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>
        <f>_xlfn.XLOOKUP(TB_Vendas[[#This Row],[Código]],TB_Produtos[Código],TB_Produtos[Categoria])</f>
        <v>Acessórios</v>
      </c>
      <c r="F6" s="1">
        <v>1</v>
      </c>
      <c r="G6" s="28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67">
        <f>VLOOKUP(TB_Vendas[[#This Row],[Qtd]],Desc_TabelaToda,TB_Vendas[[#This Row],[Indice]],TRUE)</f>
        <v>0</v>
      </c>
      <c r="J6" s="67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67">
        <f>_xlfn.XLOOKUP(TB_Vendas[[#This Row],[Vendedor]],Vendedores!$A$5:$A$9,Vendedores!$D$5:$D$9)</f>
        <v>0.15</v>
      </c>
      <c r="L6" s="67">
        <f>IF(TB_Vendas[[#This Row],[Desconto 
(Diretão)]]&lt;=TB_Vendas[[#This Row],[Desconto 
(Vendedor)]],TB_Vendas[[#This Row],[Desconto 
(Diretão)]],TB_Vendas[[#This Row],[Desconto 
(Vendedor)]])</f>
        <v>0</v>
      </c>
      <c r="M6" s="8">
        <f>TB_Vendas[[#This Row],[Preço Unitário]]*TB_Vendas[[#This Row],[Qtd]]</f>
        <v>259.89999999999998</v>
      </c>
      <c r="N6" s="1" t="s">
        <v>127</v>
      </c>
    </row>
    <row r="7" spans="1:14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>
        <f>_xlfn.XLOOKUP(TB_Vendas[[#This Row],[Código]],TB_Produtos[Código],TB_Produtos[Categoria])</f>
        <v>Vestuário</v>
      </c>
      <c r="F7" s="1">
        <v>2</v>
      </c>
      <c r="G7" s="28">
        <f>VLOOKUP(TB_Vendas[[#This Row],[Código]],Produtos!$B$6:$G$66,6,0)</f>
        <v>32.9</v>
      </c>
      <c r="H7" s="1">
        <f>_xlfn.XMATCH(TB_Vendas[[#This Row],[Categoria]],Desc_Categorias,0)</f>
        <v>3</v>
      </c>
      <c r="I7" s="67">
        <f>VLOOKUP(TB_Vendas[[#This Row],[Qtd]],Desc_TabelaToda,TB_Vendas[[#This Row],[Indice]],TRUE)</f>
        <v>0.15</v>
      </c>
      <c r="J7" s="67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67">
        <f>_xlfn.XLOOKUP(TB_Vendas[[#This Row],[Vendedor]],Vendedores!$A$5:$A$9,Vendedores!$D$5:$D$9)</f>
        <v>0.2</v>
      </c>
      <c r="L7" s="67">
        <f>IF(TB_Vendas[[#This Row],[Desconto 
(Diretão)]]&lt;=TB_Vendas[[#This Row],[Desconto 
(Vendedor)]],TB_Vendas[[#This Row],[Desconto 
(Diretão)]],TB_Vendas[[#This Row],[Desconto 
(Vendedor)]])</f>
        <v>0.15</v>
      </c>
      <c r="M7" s="8">
        <f>TB_Vendas[[#This Row],[Preço Unitário]]*TB_Vendas[[#This Row],[Qtd]]</f>
        <v>65.8</v>
      </c>
      <c r="N7" s="1" t="s">
        <v>126</v>
      </c>
    </row>
    <row r="8" spans="1:14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>
        <f>_xlfn.XLOOKUP(TB_Vendas[[#This Row],[Código]],TB_Produtos[Código],TB_Produtos[Categoria])</f>
        <v>Vestuário</v>
      </c>
      <c r="F8" s="1">
        <v>1</v>
      </c>
      <c r="G8" s="28">
        <f>VLOOKUP(TB_Vendas[[#This Row],[Código]],Produtos!$B$6:$G$66,6,0)</f>
        <v>46.9</v>
      </c>
      <c r="H8" s="1">
        <f>_xlfn.XMATCH(TB_Vendas[[#This Row],[Categoria]],Desc_Categorias,0)</f>
        <v>3</v>
      </c>
      <c r="I8" s="67">
        <f>VLOOKUP(TB_Vendas[[#This Row],[Qtd]],Desc_TabelaToda,TB_Vendas[[#This Row],[Indice]],TRUE)</f>
        <v>0.1</v>
      </c>
      <c r="J8" s="67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67">
        <f>_xlfn.XLOOKUP(TB_Vendas[[#This Row],[Vendedor]],Vendedores!$A$5:$A$9,Vendedores!$D$5:$D$9)</f>
        <v>0.15</v>
      </c>
      <c r="L8" s="67">
        <f>IF(TB_Vendas[[#This Row],[Desconto 
(Diretão)]]&lt;=TB_Vendas[[#This Row],[Desconto 
(Vendedor)]],TB_Vendas[[#This Row],[Desconto 
(Diretão)]],TB_Vendas[[#This Row],[Desconto 
(Vendedor)]])</f>
        <v>0.1</v>
      </c>
      <c r="M8" s="8">
        <f>TB_Vendas[[#This Row],[Preço Unitário]]*TB_Vendas[[#This Row],[Qtd]]</f>
        <v>46.9</v>
      </c>
      <c r="N8" s="1" t="s">
        <v>130</v>
      </c>
    </row>
    <row r="9" spans="1:14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>
        <f>_xlfn.XLOOKUP(TB_Vendas[[#This Row],[Código]],TB_Produtos[Código],TB_Produtos[Categoria])</f>
        <v>Vestuário</v>
      </c>
      <c r="F9" s="1">
        <v>1</v>
      </c>
      <c r="G9" s="28">
        <f>VLOOKUP(TB_Vendas[[#This Row],[Código]],Produtos!$B$6:$G$66,6,0)</f>
        <v>29.9</v>
      </c>
      <c r="H9" s="1">
        <f>_xlfn.XMATCH(TB_Vendas[[#This Row],[Categoria]],Desc_Categorias,0)</f>
        <v>3</v>
      </c>
      <c r="I9" s="67">
        <f>VLOOKUP(TB_Vendas[[#This Row],[Qtd]],Desc_TabelaToda,TB_Vendas[[#This Row],[Indice]],TRUE)</f>
        <v>0.1</v>
      </c>
      <c r="J9" s="67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67">
        <f>_xlfn.XLOOKUP(TB_Vendas[[#This Row],[Vendedor]],Vendedores!$A$5:$A$9,Vendedores!$D$5:$D$9)</f>
        <v>0.15</v>
      </c>
      <c r="L9" s="67">
        <f>IF(TB_Vendas[[#This Row],[Desconto 
(Diretão)]]&lt;=TB_Vendas[[#This Row],[Desconto 
(Vendedor)]],TB_Vendas[[#This Row],[Desconto 
(Diretão)]],TB_Vendas[[#This Row],[Desconto 
(Vendedor)]])</f>
        <v>0.1</v>
      </c>
      <c r="M9" s="8">
        <f>TB_Vendas[[#This Row],[Preço Unitário]]*TB_Vendas[[#This Row],[Qtd]]</f>
        <v>29.9</v>
      </c>
      <c r="N9" s="1" t="s">
        <v>127</v>
      </c>
    </row>
    <row r="10" spans="1:14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>
        <f>_xlfn.XLOOKUP(TB_Vendas[[#This Row],[Código]],TB_Produtos[Código],TB_Produtos[Categoria])</f>
        <v>Vestuário</v>
      </c>
      <c r="F10" s="1">
        <v>1</v>
      </c>
      <c r="G10" s="28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67">
        <f>VLOOKUP(TB_Vendas[[#This Row],[Qtd]],Desc_TabelaToda,TB_Vendas[[#This Row],[Indice]],TRUE)</f>
        <v>0.1</v>
      </c>
      <c r="J10" s="67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67">
        <f>_xlfn.XLOOKUP(TB_Vendas[[#This Row],[Vendedor]],Vendedores!$A$5:$A$9,Vendedores!$D$5:$D$9)</f>
        <v>0.15</v>
      </c>
      <c r="L10" s="67">
        <f>IF(TB_Vendas[[#This Row],[Desconto 
(Diretão)]]&lt;=TB_Vendas[[#This Row],[Desconto 
(Vendedor)]],TB_Vendas[[#This Row],[Desconto 
(Diretão)]],TB_Vendas[[#This Row],[Desconto 
(Vendedor)]])</f>
        <v>0.1</v>
      </c>
      <c r="M10" s="8">
        <f>TB_Vendas[[#This Row],[Preço Unitário]]*TB_Vendas[[#This Row],[Qtd]]</f>
        <v>299.89999999999998</v>
      </c>
      <c r="N10" s="1" t="s">
        <v>130</v>
      </c>
    </row>
    <row r="11" spans="1:14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>
        <f>_xlfn.XLOOKUP(TB_Vendas[[#This Row],[Código]],TB_Produtos[Código],TB_Produtos[Categoria])</f>
        <v>Vestuário</v>
      </c>
      <c r="F11" s="1">
        <v>1</v>
      </c>
      <c r="G11" s="28">
        <f>VLOOKUP(TB_Vendas[[#This Row],[Código]],Produtos!$B$6:$G$66,6,0)</f>
        <v>146</v>
      </c>
      <c r="H11" s="1">
        <f>_xlfn.XMATCH(TB_Vendas[[#This Row],[Categoria]],Desc_Categorias,0)</f>
        <v>3</v>
      </c>
      <c r="I11" s="67">
        <f>VLOOKUP(TB_Vendas[[#This Row],[Qtd]],Desc_TabelaToda,TB_Vendas[[#This Row],[Indice]],TRUE)</f>
        <v>0.1</v>
      </c>
      <c r="J11" s="67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67">
        <f>_xlfn.XLOOKUP(TB_Vendas[[#This Row],[Vendedor]],Vendedores!$A$5:$A$9,Vendedores!$D$5:$D$9)</f>
        <v>0.1</v>
      </c>
      <c r="L11" s="67">
        <f>IF(TB_Vendas[[#This Row],[Desconto 
(Diretão)]]&lt;=TB_Vendas[[#This Row],[Desconto 
(Vendedor)]],TB_Vendas[[#This Row],[Desconto 
(Diretão)]],TB_Vendas[[#This Row],[Desconto 
(Vendedor)]])</f>
        <v>0.1</v>
      </c>
      <c r="M11" s="8">
        <f>TB_Vendas[[#This Row],[Preço Unitário]]*TB_Vendas[[#This Row],[Qtd]]</f>
        <v>146</v>
      </c>
      <c r="N11" s="1" t="s">
        <v>128</v>
      </c>
    </row>
    <row r="12" spans="1:14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>
        <f>_xlfn.XLOOKUP(TB_Vendas[[#This Row],[Código]],TB_Produtos[Código],TB_Produtos[Categoria])</f>
        <v>Vestuário</v>
      </c>
      <c r="F12" s="1">
        <v>2</v>
      </c>
      <c r="G12" s="28">
        <f>VLOOKUP(TB_Vendas[[#This Row],[Código]],Produtos!$B$6:$G$66,6,0)</f>
        <v>89.9</v>
      </c>
      <c r="H12" s="1">
        <f>_xlfn.XMATCH(TB_Vendas[[#This Row],[Categoria]],Desc_Categorias,0)</f>
        <v>3</v>
      </c>
      <c r="I12" s="67">
        <f>VLOOKUP(TB_Vendas[[#This Row],[Qtd]],Desc_TabelaToda,TB_Vendas[[#This Row],[Indice]],TRUE)</f>
        <v>0.15</v>
      </c>
      <c r="J12" s="67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67">
        <f>_xlfn.XLOOKUP(TB_Vendas[[#This Row],[Vendedor]],Vendedores!$A$5:$A$9,Vendedores!$D$5:$D$9)</f>
        <v>0.1</v>
      </c>
      <c r="L12" s="67">
        <f>IF(TB_Vendas[[#This Row],[Desconto 
(Diretão)]]&lt;=TB_Vendas[[#This Row],[Desconto 
(Vendedor)]],TB_Vendas[[#This Row],[Desconto 
(Diretão)]],TB_Vendas[[#This Row],[Desconto 
(Vendedor)]])</f>
        <v>0.1</v>
      </c>
      <c r="M12" s="8">
        <f>TB_Vendas[[#This Row],[Preço Unitário]]*TB_Vendas[[#This Row],[Qtd]]</f>
        <v>179.8</v>
      </c>
      <c r="N12" s="1" t="s">
        <v>128</v>
      </c>
    </row>
    <row r="13" spans="1:14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>
        <f>_xlfn.XLOOKUP(TB_Vendas[[#This Row],[Código]],TB_Produtos[Código],TB_Produtos[Categoria])</f>
        <v>Calçado</v>
      </c>
      <c r="F13" s="1">
        <v>2</v>
      </c>
      <c r="G13" s="28">
        <f>VLOOKUP(TB_Vendas[[#This Row],[Código]],Produtos!$B$6:$G$66,6,0)</f>
        <v>250</v>
      </c>
      <c r="H13" s="1">
        <f>_xlfn.XMATCH(TB_Vendas[[#This Row],[Categoria]],Desc_Categorias,0)</f>
        <v>4</v>
      </c>
      <c r="I13" s="67">
        <f>VLOOKUP(TB_Vendas[[#This Row],[Qtd]],Desc_TabelaToda,TB_Vendas[[#This Row],[Indice]],TRUE)</f>
        <v>0.1</v>
      </c>
      <c r="J13" s="67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67">
        <f>_xlfn.XLOOKUP(TB_Vendas[[#This Row],[Vendedor]],Vendedores!$A$5:$A$9,Vendedores!$D$5:$D$9)</f>
        <v>0.15</v>
      </c>
      <c r="L13" s="67">
        <f>IF(TB_Vendas[[#This Row],[Desconto 
(Diretão)]]&lt;=TB_Vendas[[#This Row],[Desconto 
(Vendedor)]],TB_Vendas[[#This Row],[Desconto 
(Diretão)]],TB_Vendas[[#This Row],[Desconto 
(Vendedor)]])</f>
        <v>0.1</v>
      </c>
      <c r="M13" s="8">
        <f>TB_Vendas[[#This Row],[Preço Unitário]]*TB_Vendas[[#This Row],[Qtd]]</f>
        <v>500</v>
      </c>
      <c r="N13" s="1" t="s">
        <v>127</v>
      </c>
    </row>
    <row r="14" spans="1:14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>
        <f>_xlfn.XLOOKUP(TB_Vendas[[#This Row],[Código]],TB_Produtos[Código],TB_Produtos[Categoria])</f>
        <v>Vestuário</v>
      </c>
      <c r="F14" s="1">
        <v>1</v>
      </c>
      <c r="G14" s="28">
        <f>VLOOKUP(TB_Vendas[[#This Row],[Código]],Produtos!$B$6:$G$66,6,0)</f>
        <v>39.9</v>
      </c>
      <c r="H14" s="1">
        <f>_xlfn.XMATCH(TB_Vendas[[#This Row],[Categoria]],Desc_Categorias,0)</f>
        <v>3</v>
      </c>
      <c r="I14" s="67">
        <f>VLOOKUP(TB_Vendas[[#This Row],[Qtd]],Desc_TabelaToda,TB_Vendas[[#This Row],[Indice]],TRUE)</f>
        <v>0.1</v>
      </c>
      <c r="J14" s="67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67">
        <f>_xlfn.XLOOKUP(TB_Vendas[[#This Row],[Vendedor]],Vendedores!$A$5:$A$9,Vendedores!$D$5:$D$9)</f>
        <v>0.15</v>
      </c>
      <c r="L14" s="67">
        <f>IF(TB_Vendas[[#This Row],[Desconto 
(Diretão)]]&lt;=TB_Vendas[[#This Row],[Desconto 
(Vendedor)]],TB_Vendas[[#This Row],[Desconto 
(Diretão)]],TB_Vendas[[#This Row],[Desconto 
(Vendedor)]])</f>
        <v>0.1</v>
      </c>
      <c r="M14" s="8">
        <f>TB_Vendas[[#This Row],[Preço Unitário]]*TB_Vendas[[#This Row],[Qtd]]</f>
        <v>39.9</v>
      </c>
      <c r="N14" s="1" t="s">
        <v>127</v>
      </c>
    </row>
    <row r="15" spans="1:14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>
        <f>_xlfn.XLOOKUP(TB_Vendas[[#This Row],[Código]],TB_Produtos[Código],TB_Produtos[Categoria])</f>
        <v>Vestuário</v>
      </c>
      <c r="F15" s="1">
        <v>1</v>
      </c>
      <c r="G15" s="28">
        <f>VLOOKUP(TB_Vendas[[#This Row],[Código]],Produtos!$B$6:$G$66,6,0)</f>
        <v>142.9</v>
      </c>
      <c r="H15" s="1">
        <f>_xlfn.XMATCH(TB_Vendas[[#This Row],[Categoria]],Desc_Categorias,0)</f>
        <v>3</v>
      </c>
      <c r="I15" s="67">
        <f>VLOOKUP(TB_Vendas[[#This Row],[Qtd]],Desc_TabelaToda,TB_Vendas[[#This Row],[Indice]],TRUE)</f>
        <v>0.1</v>
      </c>
      <c r="J15" s="67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67">
        <f>_xlfn.XLOOKUP(TB_Vendas[[#This Row],[Vendedor]],Vendedores!$A$5:$A$9,Vendedores!$D$5:$D$9)</f>
        <v>0.2</v>
      </c>
      <c r="L15" s="67">
        <f>IF(TB_Vendas[[#This Row],[Desconto 
(Diretão)]]&lt;=TB_Vendas[[#This Row],[Desconto 
(Vendedor)]],TB_Vendas[[#This Row],[Desconto 
(Diretão)]],TB_Vendas[[#This Row],[Desconto 
(Vendedor)]])</f>
        <v>0.1</v>
      </c>
      <c r="M15" s="8">
        <f>TB_Vendas[[#This Row],[Preço Unitário]]*TB_Vendas[[#This Row],[Qtd]]</f>
        <v>142.9</v>
      </c>
      <c r="N15" s="1" t="s">
        <v>129</v>
      </c>
    </row>
    <row r="16" spans="1:14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>
        <f>_xlfn.XLOOKUP(TB_Vendas[[#This Row],[Código]],TB_Produtos[Código],TB_Produtos[Categoria])</f>
        <v>Vestuário</v>
      </c>
      <c r="F16" s="1">
        <v>1</v>
      </c>
      <c r="G16" s="28">
        <f>VLOOKUP(TB_Vendas[[#This Row],[Código]],Produtos!$B$6:$G$66,6,0)</f>
        <v>300</v>
      </c>
      <c r="H16" s="1">
        <f>_xlfn.XMATCH(TB_Vendas[[#This Row],[Categoria]],Desc_Categorias,0)</f>
        <v>3</v>
      </c>
      <c r="I16" s="67">
        <f>VLOOKUP(TB_Vendas[[#This Row],[Qtd]],Desc_TabelaToda,TB_Vendas[[#This Row],[Indice]],TRUE)</f>
        <v>0.1</v>
      </c>
      <c r="J16" s="67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67">
        <f>_xlfn.XLOOKUP(TB_Vendas[[#This Row],[Vendedor]],Vendedores!$A$5:$A$9,Vendedores!$D$5:$D$9)</f>
        <v>0.1</v>
      </c>
      <c r="L16" s="67">
        <f>IF(TB_Vendas[[#This Row],[Desconto 
(Diretão)]]&lt;=TB_Vendas[[#This Row],[Desconto 
(Vendedor)]],TB_Vendas[[#This Row],[Desconto 
(Diretão)]],TB_Vendas[[#This Row],[Desconto 
(Vendedor)]])</f>
        <v>0.1</v>
      </c>
      <c r="M16" s="8">
        <f>TB_Vendas[[#This Row],[Preço Unitário]]*TB_Vendas[[#This Row],[Qtd]]</f>
        <v>300</v>
      </c>
      <c r="N16" s="1" t="s">
        <v>128</v>
      </c>
    </row>
    <row r="17" spans="1:14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>
        <f>_xlfn.XLOOKUP(TB_Vendas[[#This Row],[Código]],TB_Produtos[Código],TB_Produtos[Categoria])</f>
        <v>Vestuário</v>
      </c>
      <c r="F17" s="1">
        <v>2</v>
      </c>
      <c r="G17" s="28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67">
        <f>VLOOKUP(TB_Vendas[[#This Row],[Qtd]],Desc_TabelaToda,TB_Vendas[[#This Row],[Indice]],TRUE)</f>
        <v>0.15</v>
      </c>
      <c r="J17" s="67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67">
        <f>_xlfn.XLOOKUP(TB_Vendas[[#This Row],[Vendedor]],Vendedores!$A$5:$A$9,Vendedores!$D$5:$D$9)</f>
        <v>0.2</v>
      </c>
      <c r="L17" s="67">
        <f>IF(TB_Vendas[[#This Row],[Desconto 
(Diretão)]]&lt;=TB_Vendas[[#This Row],[Desconto 
(Vendedor)]],TB_Vendas[[#This Row],[Desconto 
(Diretão)]],TB_Vendas[[#This Row],[Desconto 
(Vendedor)]])</f>
        <v>0.15</v>
      </c>
      <c r="M17" s="8">
        <f>TB_Vendas[[#This Row],[Preço Unitário]]*TB_Vendas[[#This Row],[Qtd]]</f>
        <v>579.79999999999995</v>
      </c>
      <c r="N17" s="1" t="s">
        <v>129</v>
      </c>
    </row>
    <row r="18" spans="1:14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>
        <f>_xlfn.XLOOKUP(TB_Vendas[[#This Row],[Código]],TB_Produtos[Código],TB_Produtos[Categoria])</f>
        <v>Calçado</v>
      </c>
      <c r="F18" s="1">
        <v>1</v>
      </c>
      <c r="G18" s="28">
        <f>VLOOKUP(TB_Vendas[[#This Row],[Código]],Produtos!$B$6:$G$66,6,0)</f>
        <v>249.9</v>
      </c>
      <c r="H18" s="1">
        <f>_xlfn.XMATCH(TB_Vendas[[#This Row],[Categoria]],Desc_Categorias,0)</f>
        <v>4</v>
      </c>
      <c r="I18" s="67">
        <f>VLOOKUP(TB_Vendas[[#This Row],[Qtd]],Desc_TabelaToda,TB_Vendas[[#This Row],[Indice]],TRUE)</f>
        <v>0</v>
      </c>
      <c r="J18" s="67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67">
        <f>_xlfn.XLOOKUP(TB_Vendas[[#This Row],[Vendedor]],Vendedores!$A$5:$A$9,Vendedores!$D$5:$D$9)</f>
        <v>0.2</v>
      </c>
      <c r="L18" s="67">
        <f>IF(TB_Vendas[[#This Row],[Desconto 
(Diretão)]]&lt;=TB_Vendas[[#This Row],[Desconto 
(Vendedor)]],TB_Vendas[[#This Row],[Desconto 
(Diretão)]],TB_Vendas[[#This Row],[Desconto 
(Vendedor)]])</f>
        <v>0</v>
      </c>
      <c r="M18" s="8">
        <f>TB_Vendas[[#This Row],[Preço Unitário]]*TB_Vendas[[#This Row],[Qtd]]</f>
        <v>249.9</v>
      </c>
      <c r="N18" s="1" t="s">
        <v>129</v>
      </c>
    </row>
    <row r="19" spans="1:14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>
        <f>_xlfn.XLOOKUP(TB_Vendas[[#This Row],[Código]],TB_Produtos[Código],TB_Produtos[Categoria])</f>
        <v>Vestuário</v>
      </c>
      <c r="F19" s="1">
        <v>2</v>
      </c>
      <c r="G19" s="28">
        <f>VLOOKUP(TB_Vendas[[#This Row],[Código]],Produtos!$B$6:$G$66,6,0)</f>
        <v>39.9</v>
      </c>
      <c r="H19" s="1">
        <f>_xlfn.XMATCH(TB_Vendas[[#This Row],[Categoria]],Desc_Categorias,0)</f>
        <v>3</v>
      </c>
      <c r="I19" s="67">
        <f>VLOOKUP(TB_Vendas[[#This Row],[Qtd]],Desc_TabelaToda,TB_Vendas[[#This Row],[Indice]],TRUE)</f>
        <v>0.15</v>
      </c>
      <c r="J19" s="67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67">
        <f>_xlfn.XLOOKUP(TB_Vendas[[#This Row],[Vendedor]],Vendedores!$A$5:$A$9,Vendedores!$D$5:$D$9)</f>
        <v>0.2</v>
      </c>
      <c r="L19" s="67">
        <f>IF(TB_Vendas[[#This Row],[Desconto 
(Diretão)]]&lt;=TB_Vendas[[#This Row],[Desconto 
(Vendedor)]],TB_Vendas[[#This Row],[Desconto 
(Diretão)]],TB_Vendas[[#This Row],[Desconto 
(Vendedor)]])</f>
        <v>0.15</v>
      </c>
      <c r="M19" s="8">
        <f>TB_Vendas[[#This Row],[Preço Unitário]]*TB_Vendas[[#This Row],[Qtd]]</f>
        <v>79.8</v>
      </c>
      <c r="N19" s="1" t="s">
        <v>129</v>
      </c>
    </row>
    <row r="20" spans="1:14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>
        <f>_xlfn.XLOOKUP(TB_Vendas[[#This Row],[Código]],TB_Produtos[Código],TB_Produtos[Categoria])</f>
        <v>Vestuário</v>
      </c>
      <c r="F20" s="1">
        <v>4</v>
      </c>
      <c r="G20" s="28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67">
        <f>VLOOKUP(TB_Vendas[[#This Row],[Qtd]],Desc_TabelaToda,TB_Vendas[[#This Row],[Indice]],TRUE)</f>
        <v>0.2</v>
      </c>
      <c r="J20" s="67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67">
        <f>_xlfn.XLOOKUP(TB_Vendas[[#This Row],[Vendedor]],Vendedores!$A$5:$A$9,Vendedores!$D$5:$D$9)</f>
        <v>0.2</v>
      </c>
      <c r="L20" s="67">
        <f>IF(TB_Vendas[[#This Row],[Desconto 
(Diretão)]]&lt;=TB_Vendas[[#This Row],[Desconto 
(Vendedor)]],TB_Vendas[[#This Row],[Desconto 
(Diretão)]],TB_Vendas[[#This Row],[Desconto 
(Vendedor)]])</f>
        <v>0.2</v>
      </c>
      <c r="M20" s="8">
        <f>TB_Vendas[[#This Row],[Preço Unitário]]*TB_Vendas[[#This Row],[Qtd]]</f>
        <v>1159.5999999999999</v>
      </c>
      <c r="N20" s="1" t="s">
        <v>129</v>
      </c>
    </row>
    <row r="21" spans="1:14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>
        <f>_xlfn.XLOOKUP(TB_Vendas[[#This Row],[Código]],TB_Produtos[Código],TB_Produtos[Categoria])</f>
        <v>Vestuário</v>
      </c>
      <c r="F21" s="1">
        <v>3</v>
      </c>
      <c r="G21" s="28">
        <f>VLOOKUP(TB_Vendas[[#This Row],[Código]],Produtos!$B$6:$G$66,6,0)</f>
        <v>180</v>
      </c>
      <c r="H21" s="1">
        <f>_xlfn.XMATCH(TB_Vendas[[#This Row],[Categoria]],Desc_Categorias,0)</f>
        <v>3</v>
      </c>
      <c r="I21" s="67">
        <f>VLOOKUP(TB_Vendas[[#This Row],[Qtd]],Desc_TabelaToda,TB_Vendas[[#This Row],[Indice]],TRUE)</f>
        <v>0.2</v>
      </c>
      <c r="J21" s="67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67">
        <f>_xlfn.XLOOKUP(TB_Vendas[[#This Row],[Vendedor]],Vendedores!$A$5:$A$9,Vendedores!$D$5:$D$9)</f>
        <v>0.15</v>
      </c>
      <c r="L21" s="67">
        <f>IF(TB_Vendas[[#This Row],[Desconto 
(Diretão)]]&lt;=TB_Vendas[[#This Row],[Desconto 
(Vendedor)]],TB_Vendas[[#This Row],[Desconto 
(Diretão)]],TB_Vendas[[#This Row],[Desconto 
(Vendedor)]])</f>
        <v>0.15</v>
      </c>
      <c r="M21" s="8">
        <f>TB_Vendas[[#This Row],[Preço Unitário]]*TB_Vendas[[#This Row],[Qtd]]</f>
        <v>540</v>
      </c>
      <c r="N21" s="1" t="s">
        <v>127</v>
      </c>
    </row>
    <row r="22" spans="1:14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>
        <f>_xlfn.XLOOKUP(TB_Vendas[[#This Row],[Código]],TB_Produtos[Código],TB_Produtos[Categoria])</f>
        <v>Vestuário</v>
      </c>
      <c r="F22" s="1">
        <v>2</v>
      </c>
      <c r="G22" s="28">
        <f>VLOOKUP(TB_Vendas[[#This Row],[Código]],Produtos!$B$6:$G$66,6,0)</f>
        <v>32.9</v>
      </c>
      <c r="H22" s="1">
        <f>_xlfn.XMATCH(TB_Vendas[[#This Row],[Categoria]],Desc_Categorias,0)</f>
        <v>3</v>
      </c>
      <c r="I22" s="67">
        <f>VLOOKUP(TB_Vendas[[#This Row],[Qtd]],Desc_TabelaToda,TB_Vendas[[#This Row],[Indice]],TRUE)</f>
        <v>0.15</v>
      </c>
      <c r="J22" s="67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67">
        <f>_xlfn.XLOOKUP(TB_Vendas[[#This Row],[Vendedor]],Vendedores!$A$5:$A$9,Vendedores!$D$5:$D$9)</f>
        <v>0.2</v>
      </c>
      <c r="L22" s="67">
        <f>IF(TB_Vendas[[#This Row],[Desconto 
(Diretão)]]&lt;=TB_Vendas[[#This Row],[Desconto 
(Vendedor)]],TB_Vendas[[#This Row],[Desconto 
(Diretão)]],TB_Vendas[[#This Row],[Desconto 
(Vendedor)]])</f>
        <v>0.15</v>
      </c>
      <c r="M22" s="8">
        <f>TB_Vendas[[#This Row],[Preço Unitário]]*TB_Vendas[[#This Row],[Qtd]]</f>
        <v>65.8</v>
      </c>
      <c r="N22" s="1" t="s">
        <v>126</v>
      </c>
    </row>
    <row r="23" spans="1:14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>
        <f>_xlfn.XLOOKUP(TB_Vendas[[#This Row],[Código]],TB_Produtos[Código],TB_Produtos[Categoria])</f>
        <v>Calçado</v>
      </c>
      <c r="F23" s="1">
        <v>3</v>
      </c>
      <c r="G23" s="28">
        <f>VLOOKUP(TB_Vendas[[#This Row],[Código]],Produtos!$B$6:$G$66,6,0)</f>
        <v>255</v>
      </c>
      <c r="H23" s="1">
        <f>_xlfn.XMATCH(TB_Vendas[[#This Row],[Categoria]],Desc_Categorias,0)</f>
        <v>4</v>
      </c>
      <c r="I23" s="67">
        <f>VLOOKUP(TB_Vendas[[#This Row],[Qtd]],Desc_TabelaToda,TB_Vendas[[#This Row],[Indice]],TRUE)</f>
        <v>0.15</v>
      </c>
      <c r="J23" s="67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67">
        <f>_xlfn.XLOOKUP(TB_Vendas[[#This Row],[Vendedor]],Vendedores!$A$5:$A$9,Vendedores!$D$5:$D$9)</f>
        <v>0.2</v>
      </c>
      <c r="L23" s="67">
        <f>IF(TB_Vendas[[#This Row],[Desconto 
(Diretão)]]&lt;=TB_Vendas[[#This Row],[Desconto 
(Vendedor)]],TB_Vendas[[#This Row],[Desconto 
(Diretão)]],TB_Vendas[[#This Row],[Desconto 
(Vendedor)]])</f>
        <v>0.15</v>
      </c>
      <c r="M23" s="8">
        <f>TB_Vendas[[#This Row],[Preço Unitário]]*TB_Vendas[[#This Row],[Qtd]]</f>
        <v>765</v>
      </c>
      <c r="N23" s="1" t="s">
        <v>129</v>
      </c>
    </row>
    <row r="24" spans="1:14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>
        <f>_xlfn.XLOOKUP(TB_Vendas[[#This Row],[Código]],TB_Produtos[Código],TB_Produtos[Categoria])</f>
        <v>Vestuário</v>
      </c>
      <c r="F24" s="1">
        <v>1</v>
      </c>
      <c r="G24" s="28">
        <f>VLOOKUP(TB_Vendas[[#This Row],[Código]],Produtos!$B$6:$G$66,6,0)</f>
        <v>142.9</v>
      </c>
      <c r="H24" s="1">
        <f>_xlfn.XMATCH(TB_Vendas[[#This Row],[Categoria]],Desc_Categorias,0)</f>
        <v>3</v>
      </c>
      <c r="I24" s="67">
        <f>VLOOKUP(TB_Vendas[[#This Row],[Qtd]],Desc_TabelaToda,TB_Vendas[[#This Row],[Indice]],TRUE)</f>
        <v>0.1</v>
      </c>
      <c r="J24" s="67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67">
        <f>_xlfn.XLOOKUP(TB_Vendas[[#This Row],[Vendedor]],Vendedores!$A$5:$A$9,Vendedores!$D$5:$D$9)</f>
        <v>0.2</v>
      </c>
      <c r="L24" s="67">
        <f>IF(TB_Vendas[[#This Row],[Desconto 
(Diretão)]]&lt;=TB_Vendas[[#This Row],[Desconto 
(Vendedor)]],TB_Vendas[[#This Row],[Desconto 
(Diretão)]],TB_Vendas[[#This Row],[Desconto 
(Vendedor)]])</f>
        <v>0.1</v>
      </c>
      <c r="M24" s="8">
        <f>TB_Vendas[[#This Row],[Preço Unitário]]*TB_Vendas[[#This Row],[Qtd]]</f>
        <v>142.9</v>
      </c>
      <c r="N24" s="1" t="s">
        <v>126</v>
      </c>
    </row>
    <row r="25" spans="1:14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>
        <f>_xlfn.XLOOKUP(TB_Vendas[[#This Row],[Código]],TB_Produtos[Código],TB_Produtos[Categoria])</f>
        <v>Vestuário</v>
      </c>
      <c r="F25" s="1">
        <v>4</v>
      </c>
      <c r="G25" s="28">
        <f>VLOOKUP(TB_Vendas[[#This Row],[Código]],Produtos!$B$6:$G$66,6,0)</f>
        <v>92.9</v>
      </c>
      <c r="H25" s="1">
        <f>_xlfn.XMATCH(TB_Vendas[[#This Row],[Categoria]],Desc_Categorias,0)</f>
        <v>3</v>
      </c>
      <c r="I25" s="67">
        <f>VLOOKUP(TB_Vendas[[#This Row],[Qtd]],Desc_TabelaToda,TB_Vendas[[#This Row],[Indice]],TRUE)</f>
        <v>0.2</v>
      </c>
      <c r="J25" s="67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67">
        <f>_xlfn.XLOOKUP(TB_Vendas[[#This Row],[Vendedor]],Vendedores!$A$5:$A$9,Vendedores!$D$5:$D$9)</f>
        <v>0.1</v>
      </c>
      <c r="L25" s="67">
        <f>IF(TB_Vendas[[#This Row],[Desconto 
(Diretão)]]&lt;=TB_Vendas[[#This Row],[Desconto 
(Vendedor)]],TB_Vendas[[#This Row],[Desconto 
(Diretão)]],TB_Vendas[[#This Row],[Desconto 
(Vendedor)]])</f>
        <v>0.1</v>
      </c>
      <c r="M25" s="8">
        <f>TB_Vendas[[#This Row],[Preço Unitário]]*TB_Vendas[[#This Row],[Qtd]]</f>
        <v>371.6</v>
      </c>
      <c r="N25" s="1" t="s">
        <v>128</v>
      </c>
    </row>
    <row r="26" spans="1:14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>
        <f>_xlfn.XLOOKUP(TB_Vendas[[#This Row],[Código]],TB_Produtos[Código],TB_Produtos[Categoria])</f>
        <v>Vestuário</v>
      </c>
      <c r="F26" s="1">
        <v>2</v>
      </c>
      <c r="G26" s="28">
        <f>VLOOKUP(TB_Vendas[[#This Row],[Código]],Produtos!$B$6:$G$66,6,0)</f>
        <v>54.9</v>
      </c>
      <c r="H26" s="1">
        <f>_xlfn.XMATCH(TB_Vendas[[#This Row],[Categoria]],Desc_Categorias,0)</f>
        <v>3</v>
      </c>
      <c r="I26" s="67">
        <f>VLOOKUP(TB_Vendas[[#This Row],[Qtd]],Desc_TabelaToda,TB_Vendas[[#This Row],[Indice]],TRUE)</f>
        <v>0.15</v>
      </c>
      <c r="J26" s="67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67">
        <f>_xlfn.XLOOKUP(TB_Vendas[[#This Row],[Vendedor]],Vendedores!$A$5:$A$9,Vendedores!$D$5:$D$9)</f>
        <v>0.2</v>
      </c>
      <c r="L26" s="67">
        <f>IF(TB_Vendas[[#This Row],[Desconto 
(Diretão)]]&lt;=TB_Vendas[[#This Row],[Desconto 
(Vendedor)]],TB_Vendas[[#This Row],[Desconto 
(Diretão)]],TB_Vendas[[#This Row],[Desconto 
(Vendedor)]])</f>
        <v>0.15</v>
      </c>
      <c r="M26" s="8">
        <f>TB_Vendas[[#This Row],[Preço Unitário]]*TB_Vendas[[#This Row],[Qtd]]</f>
        <v>109.8</v>
      </c>
      <c r="N26" s="1" t="s">
        <v>126</v>
      </c>
    </row>
    <row r="27" spans="1:14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>
        <f>_xlfn.XLOOKUP(TB_Vendas[[#This Row],[Código]],TB_Produtos[Código],TB_Produtos[Categoria])</f>
        <v>Vestuário</v>
      </c>
      <c r="F27" s="1">
        <v>3</v>
      </c>
      <c r="G27" s="28">
        <f>VLOOKUP(TB_Vendas[[#This Row],[Código]],Produtos!$B$6:$G$66,6,0)</f>
        <v>142.9</v>
      </c>
      <c r="H27" s="1">
        <f>_xlfn.XMATCH(TB_Vendas[[#This Row],[Categoria]],Desc_Categorias,0)</f>
        <v>3</v>
      </c>
      <c r="I27" s="67">
        <f>VLOOKUP(TB_Vendas[[#This Row],[Qtd]],Desc_TabelaToda,TB_Vendas[[#This Row],[Indice]],TRUE)</f>
        <v>0.2</v>
      </c>
      <c r="J27" s="67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67">
        <f>_xlfn.XLOOKUP(TB_Vendas[[#This Row],[Vendedor]],Vendedores!$A$5:$A$9,Vendedores!$D$5:$D$9)</f>
        <v>0.15</v>
      </c>
      <c r="L27" s="67">
        <f>IF(TB_Vendas[[#This Row],[Desconto 
(Diretão)]]&lt;=TB_Vendas[[#This Row],[Desconto 
(Vendedor)]],TB_Vendas[[#This Row],[Desconto 
(Diretão)]],TB_Vendas[[#This Row],[Desconto 
(Vendedor)]])</f>
        <v>0.15</v>
      </c>
      <c r="M27" s="8">
        <f>TB_Vendas[[#This Row],[Preço Unitário]]*TB_Vendas[[#This Row],[Qtd]]</f>
        <v>428.70000000000005</v>
      </c>
      <c r="N27" s="1" t="s">
        <v>127</v>
      </c>
    </row>
    <row r="28" spans="1:14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>
        <f>_xlfn.XLOOKUP(TB_Vendas[[#This Row],[Código]],TB_Produtos[Código],TB_Produtos[Categoria])</f>
        <v>Acessórios</v>
      </c>
      <c r="F28" s="1">
        <v>2</v>
      </c>
      <c r="G28" s="28">
        <f>VLOOKUP(TB_Vendas[[#This Row],[Código]],Produtos!$B$6:$G$66,6,0)</f>
        <v>120</v>
      </c>
      <c r="H28" s="1">
        <f>_xlfn.XMATCH(TB_Vendas[[#This Row],[Categoria]],Desc_Categorias,0)</f>
        <v>2</v>
      </c>
      <c r="I28" s="67">
        <f>VLOOKUP(TB_Vendas[[#This Row],[Qtd]],Desc_TabelaToda,TB_Vendas[[#This Row],[Indice]],TRUE)</f>
        <v>0.05</v>
      </c>
      <c r="J28" s="67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67">
        <f>_xlfn.XLOOKUP(TB_Vendas[[#This Row],[Vendedor]],Vendedores!$A$5:$A$9,Vendedores!$D$5:$D$9)</f>
        <v>0.15</v>
      </c>
      <c r="L28" s="67">
        <f>IF(TB_Vendas[[#This Row],[Desconto 
(Diretão)]]&lt;=TB_Vendas[[#This Row],[Desconto 
(Vendedor)]],TB_Vendas[[#This Row],[Desconto 
(Diretão)]],TB_Vendas[[#This Row],[Desconto 
(Vendedor)]])</f>
        <v>0.05</v>
      </c>
      <c r="M28" s="8">
        <f>TB_Vendas[[#This Row],[Preço Unitário]]*TB_Vendas[[#This Row],[Qtd]]</f>
        <v>240</v>
      </c>
      <c r="N28" s="1" t="s">
        <v>127</v>
      </c>
    </row>
    <row r="29" spans="1:14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>
        <f>_xlfn.XLOOKUP(TB_Vendas[[#This Row],[Código]],TB_Produtos[Código],TB_Produtos[Categoria])</f>
        <v>Vestuário</v>
      </c>
      <c r="F29" s="1">
        <v>1</v>
      </c>
      <c r="G29" s="28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67">
        <f>VLOOKUP(TB_Vendas[[#This Row],[Qtd]],Desc_TabelaToda,TB_Vendas[[#This Row],[Indice]],TRUE)</f>
        <v>0.1</v>
      </c>
      <c r="J29" s="67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67">
        <f>_xlfn.XLOOKUP(TB_Vendas[[#This Row],[Vendedor]],Vendedores!$A$5:$A$9,Vendedores!$D$5:$D$9)</f>
        <v>0.2</v>
      </c>
      <c r="L29" s="67">
        <f>IF(TB_Vendas[[#This Row],[Desconto 
(Diretão)]]&lt;=TB_Vendas[[#This Row],[Desconto 
(Vendedor)]],TB_Vendas[[#This Row],[Desconto 
(Diretão)]],TB_Vendas[[#This Row],[Desconto 
(Vendedor)]])</f>
        <v>0.1</v>
      </c>
      <c r="M29" s="8">
        <f>TB_Vendas[[#This Row],[Preço Unitário]]*TB_Vendas[[#This Row],[Qtd]]</f>
        <v>65.900000000000006</v>
      </c>
      <c r="N29" s="1" t="s">
        <v>129</v>
      </c>
    </row>
    <row r="30" spans="1:14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>
        <f>_xlfn.XLOOKUP(TB_Vendas[[#This Row],[Código]],TB_Produtos[Código],TB_Produtos[Categoria])</f>
        <v>Vestuário</v>
      </c>
      <c r="F30" s="1">
        <v>5</v>
      </c>
      <c r="G30" s="28">
        <f>VLOOKUP(TB_Vendas[[#This Row],[Código]],Produtos!$B$6:$G$66,6,0)</f>
        <v>32.9</v>
      </c>
      <c r="H30" s="1">
        <f>_xlfn.XMATCH(TB_Vendas[[#This Row],[Categoria]],Desc_Categorias,0)</f>
        <v>3</v>
      </c>
      <c r="I30" s="67">
        <f>VLOOKUP(TB_Vendas[[#This Row],[Qtd]],Desc_TabelaToda,TB_Vendas[[#This Row],[Indice]],TRUE)</f>
        <v>0.25</v>
      </c>
      <c r="J30" s="67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67">
        <f>_xlfn.XLOOKUP(TB_Vendas[[#This Row],[Vendedor]],Vendedores!$A$5:$A$9,Vendedores!$D$5:$D$9)</f>
        <v>0.15</v>
      </c>
      <c r="L30" s="67">
        <f>IF(TB_Vendas[[#This Row],[Desconto 
(Diretão)]]&lt;=TB_Vendas[[#This Row],[Desconto 
(Vendedor)]],TB_Vendas[[#This Row],[Desconto 
(Diretão)]],TB_Vendas[[#This Row],[Desconto 
(Vendedor)]])</f>
        <v>0.15</v>
      </c>
      <c r="M30" s="8">
        <f>TB_Vendas[[#This Row],[Preço Unitário]]*TB_Vendas[[#This Row],[Qtd]]</f>
        <v>164.5</v>
      </c>
      <c r="N30" s="1" t="s">
        <v>130</v>
      </c>
    </row>
    <row r="31" spans="1:14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>
        <f>_xlfn.XLOOKUP(TB_Vendas[[#This Row],[Código]],TB_Produtos[Código],TB_Produtos[Categoria])</f>
        <v>Vestuário</v>
      </c>
      <c r="F31" s="1">
        <v>2</v>
      </c>
      <c r="G31" s="28">
        <f>VLOOKUP(TB_Vendas[[#This Row],[Código]],Produtos!$B$6:$G$66,6,0)</f>
        <v>180</v>
      </c>
      <c r="H31" s="1">
        <f>_xlfn.XMATCH(TB_Vendas[[#This Row],[Categoria]],Desc_Categorias,0)</f>
        <v>3</v>
      </c>
      <c r="I31" s="67">
        <f>VLOOKUP(TB_Vendas[[#This Row],[Qtd]],Desc_TabelaToda,TB_Vendas[[#This Row],[Indice]],TRUE)</f>
        <v>0.15</v>
      </c>
      <c r="J31" s="67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67">
        <f>_xlfn.XLOOKUP(TB_Vendas[[#This Row],[Vendedor]],Vendedores!$A$5:$A$9,Vendedores!$D$5:$D$9)</f>
        <v>0.15</v>
      </c>
      <c r="L31" s="67">
        <f>IF(TB_Vendas[[#This Row],[Desconto 
(Diretão)]]&lt;=TB_Vendas[[#This Row],[Desconto 
(Vendedor)]],TB_Vendas[[#This Row],[Desconto 
(Diretão)]],TB_Vendas[[#This Row],[Desconto 
(Vendedor)]])</f>
        <v>0.15</v>
      </c>
      <c r="M31" s="8">
        <f>TB_Vendas[[#This Row],[Preço Unitário]]*TB_Vendas[[#This Row],[Qtd]]</f>
        <v>360</v>
      </c>
      <c r="N31" s="1" t="s">
        <v>127</v>
      </c>
    </row>
    <row r="32" spans="1:14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>
        <f>_xlfn.XLOOKUP(TB_Vendas[[#This Row],[Código]],TB_Produtos[Código],TB_Produtos[Categoria])</f>
        <v>Acessórios</v>
      </c>
      <c r="F32" s="1">
        <v>3</v>
      </c>
      <c r="G32" s="28">
        <f>VLOOKUP(TB_Vendas[[#This Row],[Código]],Produtos!$B$6:$G$66,6,0)</f>
        <v>349.9</v>
      </c>
      <c r="H32" s="1">
        <f>_xlfn.XMATCH(TB_Vendas[[#This Row],[Categoria]],Desc_Categorias,0)</f>
        <v>2</v>
      </c>
      <c r="I32" s="67">
        <f>VLOOKUP(TB_Vendas[[#This Row],[Qtd]],Desc_TabelaToda,TB_Vendas[[#This Row],[Indice]],TRUE)</f>
        <v>0.15</v>
      </c>
      <c r="J32" s="67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67">
        <f>_xlfn.XLOOKUP(TB_Vendas[[#This Row],[Vendedor]],Vendedores!$A$5:$A$9,Vendedores!$D$5:$D$9)</f>
        <v>0.2</v>
      </c>
      <c r="L32" s="67">
        <f>IF(TB_Vendas[[#This Row],[Desconto 
(Diretão)]]&lt;=TB_Vendas[[#This Row],[Desconto 
(Vendedor)]],TB_Vendas[[#This Row],[Desconto 
(Diretão)]],TB_Vendas[[#This Row],[Desconto 
(Vendedor)]])</f>
        <v>0.15</v>
      </c>
      <c r="M32" s="8">
        <f>TB_Vendas[[#This Row],[Preço Unitário]]*TB_Vendas[[#This Row],[Qtd]]</f>
        <v>1049.6999999999998</v>
      </c>
      <c r="N32" s="1" t="s">
        <v>126</v>
      </c>
    </row>
    <row r="33" spans="1:14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>
        <f>_xlfn.XLOOKUP(TB_Vendas[[#This Row],[Código]],TB_Produtos[Código],TB_Produtos[Categoria])</f>
        <v>Vestuário</v>
      </c>
      <c r="F33" s="1">
        <v>1</v>
      </c>
      <c r="G33" s="28">
        <f>VLOOKUP(TB_Vendas[[#This Row],[Código]],Produtos!$B$6:$G$66,6,0)</f>
        <v>72.5</v>
      </c>
      <c r="H33" s="1">
        <f>_xlfn.XMATCH(TB_Vendas[[#This Row],[Categoria]],Desc_Categorias,0)</f>
        <v>3</v>
      </c>
      <c r="I33" s="67">
        <f>VLOOKUP(TB_Vendas[[#This Row],[Qtd]],Desc_TabelaToda,TB_Vendas[[#This Row],[Indice]],TRUE)</f>
        <v>0.1</v>
      </c>
      <c r="J33" s="67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67">
        <f>_xlfn.XLOOKUP(TB_Vendas[[#This Row],[Vendedor]],Vendedores!$A$5:$A$9,Vendedores!$D$5:$D$9)</f>
        <v>0.1</v>
      </c>
      <c r="L33" s="67">
        <f>IF(TB_Vendas[[#This Row],[Desconto 
(Diretão)]]&lt;=TB_Vendas[[#This Row],[Desconto 
(Vendedor)]],TB_Vendas[[#This Row],[Desconto 
(Diretão)]],TB_Vendas[[#This Row],[Desconto 
(Vendedor)]])</f>
        <v>0.1</v>
      </c>
      <c r="M33" s="8">
        <f>TB_Vendas[[#This Row],[Preço Unitário]]*TB_Vendas[[#This Row],[Qtd]]</f>
        <v>72.5</v>
      </c>
      <c r="N33" s="1" t="s">
        <v>128</v>
      </c>
    </row>
    <row r="34" spans="1:14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>
        <f>_xlfn.XLOOKUP(TB_Vendas[[#This Row],[Código]],TB_Produtos[Código],TB_Produtos[Categoria])</f>
        <v>Vestuário</v>
      </c>
      <c r="F34" s="1">
        <v>4</v>
      </c>
      <c r="G34" s="28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67">
        <f>VLOOKUP(TB_Vendas[[#This Row],[Qtd]],Desc_TabelaToda,TB_Vendas[[#This Row],[Indice]],TRUE)</f>
        <v>0.2</v>
      </c>
      <c r="J34" s="67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67">
        <f>_xlfn.XLOOKUP(TB_Vendas[[#This Row],[Vendedor]],Vendedores!$A$5:$A$9,Vendedores!$D$5:$D$9)</f>
        <v>0.2</v>
      </c>
      <c r="L34" s="67">
        <f>IF(TB_Vendas[[#This Row],[Desconto 
(Diretão)]]&lt;=TB_Vendas[[#This Row],[Desconto 
(Vendedor)]],TB_Vendas[[#This Row],[Desconto 
(Diretão)]],TB_Vendas[[#This Row],[Desconto 
(Vendedor)]])</f>
        <v>0.2</v>
      </c>
      <c r="M34" s="8">
        <f>TB_Vendas[[#This Row],[Preço Unitário]]*TB_Vendas[[#This Row],[Qtd]]</f>
        <v>1039.5999999999999</v>
      </c>
      <c r="N34" s="1" t="s">
        <v>126</v>
      </c>
    </row>
    <row r="35" spans="1:14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>
        <f>_xlfn.XLOOKUP(TB_Vendas[[#This Row],[Código]],TB_Produtos[Código],TB_Produtos[Categoria])</f>
        <v>Vestuário</v>
      </c>
      <c r="F35" s="1">
        <v>3</v>
      </c>
      <c r="G35" s="28">
        <f>VLOOKUP(TB_Vendas[[#This Row],[Código]],Produtos!$B$6:$G$66,6,0)</f>
        <v>25.9</v>
      </c>
      <c r="H35" s="1">
        <f>_xlfn.XMATCH(TB_Vendas[[#This Row],[Categoria]],Desc_Categorias,0)</f>
        <v>3</v>
      </c>
      <c r="I35" s="67">
        <f>VLOOKUP(TB_Vendas[[#This Row],[Qtd]],Desc_TabelaToda,TB_Vendas[[#This Row],[Indice]],TRUE)</f>
        <v>0.2</v>
      </c>
      <c r="J35" s="67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67">
        <f>_xlfn.XLOOKUP(TB_Vendas[[#This Row],[Vendedor]],Vendedores!$A$5:$A$9,Vendedores!$D$5:$D$9)</f>
        <v>0.15</v>
      </c>
      <c r="L35" s="67">
        <f>IF(TB_Vendas[[#This Row],[Desconto 
(Diretão)]]&lt;=TB_Vendas[[#This Row],[Desconto 
(Vendedor)]],TB_Vendas[[#This Row],[Desconto 
(Diretão)]],TB_Vendas[[#This Row],[Desconto 
(Vendedor)]])</f>
        <v>0.15</v>
      </c>
      <c r="M35" s="8">
        <f>TB_Vendas[[#This Row],[Preço Unitário]]*TB_Vendas[[#This Row],[Qtd]]</f>
        <v>77.699999999999989</v>
      </c>
      <c r="N35" s="1" t="s">
        <v>127</v>
      </c>
    </row>
    <row r="36" spans="1:14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>
        <f>_xlfn.XLOOKUP(TB_Vendas[[#This Row],[Código]],TB_Produtos[Código],TB_Produtos[Categoria])</f>
        <v>Acessórios</v>
      </c>
      <c r="F36" s="1">
        <v>2</v>
      </c>
      <c r="G36" s="28">
        <f>VLOOKUP(TB_Vendas[[#This Row],[Código]],Produtos!$B$6:$G$66,6,0)</f>
        <v>145</v>
      </c>
      <c r="H36" s="1">
        <f>_xlfn.XMATCH(TB_Vendas[[#This Row],[Categoria]],Desc_Categorias,0)</f>
        <v>2</v>
      </c>
      <c r="I36" s="67">
        <f>VLOOKUP(TB_Vendas[[#This Row],[Qtd]],Desc_TabelaToda,TB_Vendas[[#This Row],[Indice]],TRUE)</f>
        <v>0.05</v>
      </c>
      <c r="J36" s="67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67">
        <f>_xlfn.XLOOKUP(TB_Vendas[[#This Row],[Vendedor]],Vendedores!$A$5:$A$9,Vendedores!$D$5:$D$9)</f>
        <v>0.2</v>
      </c>
      <c r="L36" s="67">
        <f>IF(TB_Vendas[[#This Row],[Desconto 
(Diretão)]]&lt;=TB_Vendas[[#This Row],[Desconto 
(Vendedor)]],TB_Vendas[[#This Row],[Desconto 
(Diretão)]],TB_Vendas[[#This Row],[Desconto 
(Vendedor)]])</f>
        <v>0.05</v>
      </c>
      <c r="M36" s="8">
        <f>TB_Vendas[[#This Row],[Preço Unitário]]*TB_Vendas[[#This Row],[Qtd]]</f>
        <v>290</v>
      </c>
      <c r="N36" s="1" t="s">
        <v>126</v>
      </c>
    </row>
    <row r="37" spans="1:14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>
        <f>_xlfn.XLOOKUP(TB_Vendas[[#This Row],[Código]],TB_Produtos[Código],TB_Produtos[Categoria])</f>
        <v>Acessórios</v>
      </c>
      <c r="F37" s="1">
        <v>1</v>
      </c>
      <c r="G37" s="28">
        <f>VLOOKUP(TB_Vendas[[#This Row],[Código]],Produtos!$B$6:$G$66,6,0)</f>
        <v>39.9</v>
      </c>
      <c r="H37" s="1">
        <f>_xlfn.XMATCH(TB_Vendas[[#This Row],[Categoria]],Desc_Categorias,0)</f>
        <v>2</v>
      </c>
      <c r="I37" s="67">
        <f>VLOOKUP(TB_Vendas[[#This Row],[Qtd]],Desc_TabelaToda,TB_Vendas[[#This Row],[Indice]],TRUE)</f>
        <v>0</v>
      </c>
      <c r="J37" s="67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67">
        <f>_xlfn.XLOOKUP(TB_Vendas[[#This Row],[Vendedor]],Vendedores!$A$5:$A$9,Vendedores!$D$5:$D$9)</f>
        <v>0.15</v>
      </c>
      <c r="L37" s="67">
        <f>IF(TB_Vendas[[#This Row],[Desconto 
(Diretão)]]&lt;=TB_Vendas[[#This Row],[Desconto 
(Vendedor)]],TB_Vendas[[#This Row],[Desconto 
(Diretão)]],TB_Vendas[[#This Row],[Desconto 
(Vendedor)]])</f>
        <v>0</v>
      </c>
      <c r="M37" s="8">
        <f>TB_Vendas[[#This Row],[Preço Unitário]]*TB_Vendas[[#This Row],[Qtd]]</f>
        <v>39.9</v>
      </c>
      <c r="N37" s="1" t="s">
        <v>127</v>
      </c>
    </row>
    <row r="38" spans="1:14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>
        <f>_xlfn.XLOOKUP(TB_Vendas[[#This Row],[Código]],TB_Produtos[Código],TB_Produtos[Categoria])</f>
        <v>Acessórios</v>
      </c>
      <c r="F38" s="1">
        <v>3</v>
      </c>
      <c r="G38" s="28">
        <f>VLOOKUP(TB_Vendas[[#This Row],[Código]],Produtos!$B$6:$G$66,6,0)</f>
        <v>349.9</v>
      </c>
      <c r="H38" s="1">
        <f>_xlfn.XMATCH(TB_Vendas[[#This Row],[Categoria]],Desc_Categorias,0)</f>
        <v>2</v>
      </c>
      <c r="I38" s="67">
        <f>VLOOKUP(TB_Vendas[[#This Row],[Qtd]],Desc_TabelaToda,TB_Vendas[[#This Row],[Indice]],TRUE)</f>
        <v>0.15</v>
      </c>
      <c r="J38" s="67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67">
        <f>_xlfn.XLOOKUP(TB_Vendas[[#This Row],[Vendedor]],Vendedores!$A$5:$A$9,Vendedores!$D$5:$D$9)</f>
        <v>0.2</v>
      </c>
      <c r="L38" s="67">
        <f>IF(TB_Vendas[[#This Row],[Desconto 
(Diretão)]]&lt;=TB_Vendas[[#This Row],[Desconto 
(Vendedor)]],TB_Vendas[[#This Row],[Desconto 
(Diretão)]],TB_Vendas[[#This Row],[Desconto 
(Vendedor)]])</f>
        <v>0.15</v>
      </c>
      <c r="M38" s="8">
        <f>TB_Vendas[[#This Row],[Preço Unitário]]*TB_Vendas[[#This Row],[Qtd]]</f>
        <v>1049.6999999999998</v>
      </c>
      <c r="N38" s="1" t="s">
        <v>129</v>
      </c>
    </row>
    <row r="39" spans="1:14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>
        <f>_xlfn.XLOOKUP(TB_Vendas[[#This Row],[Código]],TB_Produtos[Código],TB_Produtos[Categoria])</f>
        <v>Calçado</v>
      </c>
      <c r="F39" s="1">
        <v>4</v>
      </c>
      <c r="G39" s="28">
        <f>VLOOKUP(TB_Vendas[[#This Row],[Código]],Produtos!$B$6:$G$66,6,0)</f>
        <v>89.9</v>
      </c>
      <c r="H39" s="1">
        <f>_xlfn.XMATCH(TB_Vendas[[#This Row],[Categoria]],Desc_Categorias,0)</f>
        <v>4</v>
      </c>
      <c r="I39" s="67">
        <f>VLOOKUP(TB_Vendas[[#This Row],[Qtd]],Desc_TabelaToda,TB_Vendas[[#This Row],[Indice]],TRUE)</f>
        <v>0.15</v>
      </c>
      <c r="J39" s="67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67">
        <f>_xlfn.XLOOKUP(TB_Vendas[[#This Row],[Vendedor]],Vendedores!$A$5:$A$9,Vendedores!$D$5:$D$9)</f>
        <v>0.2</v>
      </c>
      <c r="L39" s="67">
        <f>IF(TB_Vendas[[#This Row],[Desconto 
(Diretão)]]&lt;=TB_Vendas[[#This Row],[Desconto 
(Vendedor)]],TB_Vendas[[#This Row],[Desconto 
(Diretão)]],TB_Vendas[[#This Row],[Desconto 
(Vendedor)]])</f>
        <v>0.15</v>
      </c>
      <c r="M39" s="8">
        <f>TB_Vendas[[#This Row],[Preço Unitário]]*TB_Vendas[[#This Row],[Qtd]]</f>
        <v>359.6</v>
      </c>
      <c r="N39" s="1" t="s">
        <v>126</v>
      </c>
    </row>
    <row r="40" spans="1:14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>
        <f>_xlfn.XLOOKUP(TB_Vendas[[#This Row],[Código]],TB_Produtos[Código],TB_Produtos[Categoria])</f>
        <v>Calçado</v>
      </c>
      <c r="F40" s="1">
        <v>2</v>
      </c>
      <c r="G40" s="28">
        <f>VLOOKUP(TB_Vendas[[#This Row],[Código]],Produtos!$B$6:$G$66,6,0)</f>
        <v>89.9</v>
      </c>
      <c r="H40" s="1">
        <f>_xlfn.XMATCH(TB_Vendas[[#This Row],[Categoria]],Desc_Categorias,0)</f>
        <v>4</v>
      </c>
      <c r="I40" s="67">
        <f>VLOOKUP(TB_Vendas[[#This Row],[Qtd]],Desc_TabelaToda,TB_Vendas[[#This Row],[Indice]],TRUE)</f>
        <v>0.1</v>
      </c>
      <c r="J40" s="67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67">
        <f>_xlfn.XLOOKUP(TB_Vendas[[#This Row],[Vendedor]],Vendedores!$A$5:$A$9,Vendedores!$D$5:$D$9)</f>
        <v>0.2</v>
      </c>
      <c r="L40" s="67">
        <f>IF(TB_Vendas[[#This Row],[Desconto 
(Diretão)]]&lt;=TB_Vendas[[#This Row],[Desconto 
(Vendedor)]],TB_Vendas[[#This Row],[Desconto 
(Diretão)]],TB_Vendas[[#This Row],[Desconto 
(Vendedor)]])</f>
        <v>0.1</v>
      </c>
      <c r="M40" s="8">
        <f>TB_Vendas[[#This Row],[Preço Unitário]]*TB_Vendas[[#This Row],[Qtd]]</f>
        <v>179.8</v>
      </c>
      <c r="N40" s="1" t="s">
        <v>129</v>
      </c>
    </row>
    <row r="41" spans="1:14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>
        <f>_xlfn.XLOOKUP(TB_Vendas[[#This Row],[Código]],TB_Produtos[Código],TB_Produtos[Categoria])</f>
        <v>Vestuário</v>
      </c>
      <c r="F41" s="1">
        <v>3</v>
      </c>
      <c r="G41" s="28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67">
        <f>VLOOKUP(TB_Vendas[[#This Row],[Qtd]],Desc_TabelaToda,TB_Vendas[[#This Row],[Indice]],TRUE)</f>
        <v>0.2</v>
      </c>
      <c r="J41" s="67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67">
        <f>_xlfn.XLOOKUP(TB_Vendas[[#This Row],[Vendedor]],Vendedores!$A$5:$A$9,Vendedores!$D$5:$D$9)</f>
        <v>0.2</v>
      </c>
      <c r="L41" s="67">
        <f>IF(TB_Vendas[[#This Row],[Desconto 
(Diretão)]]&lt;=TB_Vendas[[#This Row],[Desconto 
(Vendedor)]],TB_Vendas[[#This Row],[Desconto 
(Diretão)]],TB_Vendas[[#This Row],[Desconto 
(Vendedor)]])</f>
        <v>0.2</v>
      </c>
      <c r="M41" s="8">
        <f>TB_Vendas[[#This Row],[Preço Unitário]]*TB_Vendas[[#This Row],[Qtd]]</f>
        <v>209.70000000000002</v>
      </c>
      <c r="N41" s="1" t="s">
        <v>126</v>
      </c>
    </row>
    <row r="42" spans="1:14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>
        <f>_xlfn.XLOOKUP(TB_Vendas[[#This Row],[Código]],TB_Produtos[Código],TB_Produtos[Categoria])</f>
        <v>Acessórios</v>
      </c>
      <c r="F42" s="1">
        <v>1</v>
      </c>
      <c r="G42" s="28">
        <f>VLOOKUP(TB_Vendas[[#This Row],[Código]],Produtos!$B$6:$G$66,6,0)</f>
        <v>145</v>
      </c>
      <c r="H42" s="1">
        <f>_xlfn.XMATCH(TB_Vendas[[#This Row],[Categoria]],Desc_Categorias,0)</f>
        <v>2</v>
      </c>
      <c r="I42" s="67">
        <f>VLOOKUP(TB_Vendas[[#This Row],[Qtd]],Desc_TabelaToda,TB_Vendas[[#This Row],[Indice]],TRUE)</f>
        <v>0</v>
      </c>
      <c r="J42" s="67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67">
        <f>_xlfn.XLOOKUP(TB_Vendas[[#This Row],[Vendedor]],Vendedores!$A$5:$A$9,Vendedores!$D$5:$D$9)</f>
        <v>0.15</v>
      </c>
      <c r="L42" s="67">
        <f>IF(TB_Vendas[[#This Row],[Desconto 
(Diretão)]]&lt;=TB_Vendas[[#This Row],[Desconto 
(Vendedor)]],TB_Vendas[[#This Row],[Desconto 
(Diretão)]],TB_Vendas[[#This Row],[Desconto 
(Vendedor)]])</f>
        <v>0</v>
      </c>
      <c r="M42" s="8">
        <f>TB_Vendas[[#This Row],[Preço Unitário]]*TB_Vendas[[#This Row],[Qtd]]</f>
        <v>145</v>
      </c>
      <c r="N42" s="1" t="s">
        <v>130</v>
      </c>
    </row>
    <row r="43" spans="1:14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>
        <f>_xlfn.XLOOKUP(TB_Vendas[[#This Row],[Código]],TB_Produtos[Código],TB_Produtos[Categoria])</f>
        <v>Vestuário</v>
      </c>
      <c r="F43" s="1">
        <v>4</v>
      </c>
      <c r="G43" s="28">
        <f>VLOOKUP(TB_Vendas[[#This Row],[Código]],Produtos!$B$6:$G$66,6,0)</f>
        <v>46.9</v>
      </c>
      <c r="H43" s="1">
        <f>_xlfn.XMATCH(TB_Vendas[[#This Row],[Categoria]],Desc_Categorias,0)</f>
        <v>3</v>
      </c>
      <c r="I43" s="67">
        <f>VLOOKUP(TB_Vendas[[#This Row],[Qtd]],Desc_TabelaToda,TB_Vendas[[#This Row],[Indice]],TRUE)</f>
        <v>0.2</v>
      </c>
      <c r="J43" s="67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67">
        <f>_xlfn.XLOOKUP(TB_Vendas[[#This Row],[Vendedor]],Vendedores!$A$5:$A$9,Vendedores!$D$5:$D$9)</f>
        <v>0.2</v>
      </c>
      <c r="L43" s="67">
        <f>IF(TB_Vendas[[#This Row],[Desconto 
(Diretão)]]&lt;=TB_Vendas[[#This Row],[Desconto 
(Vendedor)]],TB_Vendas[[#This Row],[Desconto 
(Diretão)]],TB_Vendas[[#This Row],[Desconto 
(Vendedor)]])</f>
        <v>0.2</v>
      </c>
      <c r="M43" s="8">
        <f>TB_Vendas[[#This Row],[Preço Unitário]]*TB_Vendas[[#This Row],[Qtd]]</f>
        <v>187.6</v>
      </c>
      <c r="N43" s="1" t="s">
        <v>126</v>
      </c>
    </row>
    <row r="44" spans="1:14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>
        <f>_xlfn.XLOOKUP(TB_Vendas[[#This Row],[Código]],TB_Produtos[Código],TB_Produtos[Categoria])</f>
        <v>Vestuário</v>
      </c>
      <c r="F44" s="1">
        <v>2</v>
      </c>
      <c r="G44" s="28">
        <f>VLOOKUP(TB_Vendas[[#This Row],[Código]],Produtos!$B$6:$G$66,6,0)</f>
        <v>72.5</v>
      </c>
      <c r="H44" s="1">
        <f>_xlfn.XMATCH(TB_Vendas[[#This Row],[Categoria]],Desc_Categorias,0)</f>
        <v>3</v>
      </c>
      <c r="I44" s="67">
        <f>VLOOKUP(TB_Vendas[[#This Row],[Qtd]],Desc_TabelaToda,TB_Vendas[[#This Row],[Indice]],TRUE)</f>
        <v>0.15</v>
      </c>
      <c r="J44" s="67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67">
        <f>_xlfn.XLOOKUP(TB_Vendas[[#This Row],[Vendedor]],Vendedores!$A$5:$A$9,Vendedores!$D$5:$D$9)</f>
        <v>0.15</v>
      </c>
      <c r="L44" s="67">
        <f>IF(TB_Vendas[[#This Row],[Desconto 
(Diretão)]]&lt;=TB_Vendas[[#This Row],[Desconto 
(Vendedor)]],TB_Vendas[[#This Row],[Desconto 
(Diretão)]],TB_Vendas[[#This Row],[Desconto 
(Vendedor)]])</f>
        <v>0.15</v>
      </c>
      <c r="M44" s="8">
        <f>TB_Vendas[[#This Row],[Preço Unitário]]*TB_Vendas[[#This Row],[Qtd]]</f>
        <v>145</v>
      </c>
      <c r="N44" s="1" t="s">
        <v>130</v>
      </c>
    </row>
    <row r="45" spans="1:14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>
        <f>_xlfn.XLOOKUP(TB_Vendas[[#This Row],[Código]],TB_Produtos[Código],TB_Produtos[Categoria])</f>
        <v>Vestuário</v>
      </c>
      <c r="F45" s="1">
        <v>3</v>
      </c>
      <c r="G45" s="28">
        <f>VLOOKUP(TB_Vendas[[#This Row],[Código]],Produtos!$B$6:$G$66,6,0)</f>
        <v>140</v>
      </c>
      <c r="H45" s="1">
        <f>_xlfn.XMATCH(TB_Vendas[[#This Row],[Categoria]],Desc_Categorias,0)</f>
        <v>3</v>
      </c>
      <c r="I45" s="67">
        <f>VLOOKUP(TB_Vendas[[#This Row],[Qtd]],Desc_TabelaToda,TB_Vendas[[#This Row],[Indice]],TRUE)</f>
        <v>0.2</v>
      </c>
      <c r="J45" s="67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67">
        <f>_xlfn.XLOOKUP(TB_Vendas[[#This Row],[Vendedor]],Vendedores!$A$5:$A$9,Vendedores!$D$5:$D$9)</f>
        <v>0.2</v>
      </c>
      <c r="L45" s="67">
        <f>IF(TB_Vendas[[#This Row],[Desconto 
(Diretão)]]&lt;=TB_Vendas[[#This Row],[Desconto 
(Vendedor)]],TB_Vendas[[#This Row],[Desconto 
(Diretão)]],TB_Vendas[[#This Row],[Desconto 
(Vendedor)]])</f>
        <v>0.2</v>
      </c>
      <c r="M45" s="8">
        <f>TB_Vendas[[#This Row],[Preço Unitário]]*TB_Vendas[[#This Row],[Qtd]]</f>
        <v>420</v>
      </c>
      <c r="N45" s="1" t="s">
        <v>129</v>
      </c>
    </row>
    <row r="46" spans="1:14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>
        <f>_xlfn.XLOOKUP(TB_Vendas[[#This Row],[Código]],TB_Produtos[Código],TB_Produtos[Categoria])</f>
        <v>Vestuário</v>
      </c>
      <c r="F46" s="1">
        <v>1</v>
      </c>
      <c r="G46" s="28">
        <f>VLOOKUP(TB_Vendas[[#This Row],[Código]],Produtos!$B$6:$G$66,6,0)</f>
        <v>91.4</v>
      </c>
      <c r="H46" s="1">
        <f>_xlfn.XMATCH(TB_Vendas[[#This Row],[Categoria]],Desc_Categorias,0)</f>
        <v>3</v>
      </c>
      <c r="I46" s="67">
        <f>VLOOKUP(TB_Vendas[[#This Row],[Qtd]],Desc_TabelaToda,TB_Vendas[[#This Row],[Indice]],TRUE)</f>
        <v>0.1</v>
      </c>
      <c r="J46" s="67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67">
        <f>_xlfn.XLOOKUP(TB_Vendas[[#This Row],[Vendedor]],Vendedores!$A$5:$A$9,Vendedores!$D$5:$D$9)</f>
        <v>0.15</v>
      </c>
      <c r="L46" s="67">
        <f>IF(TB_Vendas[[#This Row],[Desconto 
(Diretão)]]&lt;=TB_Vendas[[#This Row],[Desconto 
(Vendedor)]],TB_Vendas[[#This Row],[Desconto 
(Diretão)]],TB_Vendas[[#This Row],[Desconto 
(Vendedor)]])</f>
        <v>0.1</v>
      </c>
      <c r="M46" s="8">
        <f>TB_Vendas[[#This Row],[Preço Unitário]]*TB_Vendas[[#This Row],[Qtd]]</f>
        <v>91.4</v>
      </c>
      <c r="N46" s="1" t="s">
        <v>127</v>
      </c>
    </row>
    <row r="47" spans="1:14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>
        <f>_xlfn.XLOOKUP(TB_Vendas[[#This Row],[Código]],TB_Produtos[Código],TB_Produtos[Categoria])</f>
        <v>Acessórios</v>
      </c>
      <c r="F47" s="1">
        <v>2</v>
      </c>
      <c r="G47" s="28">
        <f>VLOOKUP(TB_Vendas[[#This Row],[Código]],Produtos!$B$6:$G$66,6,0)</f>
        <v>349.9</v>
      </c>
      <c r="H47" s="1">
        <f>_xlfn.XMATCH(TB_Vendas[[#This Row],[Categoria]],Desc_Categorias,0)</f>
        <v>2</v>
      </c>
      <c r="I47" s="67">
        <f>VLOOKUP(TB_Vendas[[#This Row],[Qtd]],Desc_TabelaToda,TB_Vendas[[#This Row],[Indice]],TRUE)</f>
        <v>0.05</v>
      </c>
      <c r="J47" s="67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67">
        <f>_xlfn.XLOOKUP(TB_Vendas[[#This Row],[Vendedor]],Vendedores!$A$5:$A$9,Vendedores!$D$5:$D$9)</f>
        <v>0.2</v>
      </c>
      <c r="L47" s="67">
        <f>IF(TB_Vendas[[#This Row],[Desconto 
(Diretão)]]&lt;=TB_Vendas[[#This Row],[Desconto 
(Vendedor)]],TB_Vendas[[#This Row],[Desconto 
(Diretão)]],TB_Vendas[[#This Row],[Desconto 
(Vendedor)]])</f>
        <v>0.05</v>
      </c>
      <c r="M47" s="8">
        <f>TB_Vendas[[#This Row],[Preço Unitário]]*TB_Vendas[[#This Row],[Qtd]]</f>
        <v>699.8</v>
      </c>
      <c r="N47" s="1" t="s">
        <v>129</v>
      </c>
    </row>
    <row r="48" spans="1:14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>
        <f>_xlfn.XLOOKUP(TB_Vendas[[#This Row],[Código]],TB_Produtos[Código],TB_Produtos[Categoria])</f>
        <v>Vestuário</v>
      </c>
      <c r="F48" s="1">
        <v>3</v>
      </c>
      <c r="G48" s="28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67">
        <f>VLOOKUP(TB_Vendas[[#This Row],[Qtd]],Desc_TabelaToda,TB_Vendas[[#This Row],[Indice]],TRUE)</f>
        <v>0.2</v>
      </c>
      <c r="J48" s="67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67">
        <f>_xlfn.XLOOKUP(TB_Vendas[[#This Row],[Vendedor]],Vendedores!$A$5:$A$9,Vendedores!$D$5:$D$9)</f>
        <v>0.15</v>
      </c>
      <c r="L48" s="67">
        <f>IF(TB_Vendas[[#This Row],[Desconto 
(Diretão)]]&lt;=TB_Vendas[[#This Row],[Desconto 
(Vendedor)]],TB_Vendas[[#This Row],[Desconto 
(Diretão)]],TB_Vendas[[#This Row],[Desconto 
(Vendedor)]])</f>
        <v>0.15</v>
      </c>
      <c r="M48" s="8">
        <f>TB_Vendas[[#This Row],[Preço Unitário]]*TB_Vendas[[#This Row],[Qtd]]</f>
        <v>197.70000000000002</v>
      </c>
      <c r="N48" s="1" t="s">
        <v>127</v>
      </c>
    </row>
    <row r="49" spans="1:14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>
        <f>_xlfn.XLOOKUP(TB_Vendas[[#This Row],[Código]],TB_Produtos[Código],TB_Produtos[Categoria])</f>
        <v>Vestuário</v>
      </c>
      <c r="F49" s="1">
        <v>2</v>
      </c>
      <c r="G49" s="28">
        <f>VLOOKUP(TB_Vendas[[#This Row],[Código]],Produtos!$B$6:$G$66,6,0)</f>
        <v>91.4</v>
      </c>
      <c r="H49" s="1">
        <f>_xlfn.XMATCH(TB_Vendas[[#This Row],[Categoria]],Desc_Categorias,0)</f>
        <v>3</v>
      </c>
      <c r="I49" s="67">
        <f>VLOOKUP(TB_Vendas[[#This Row],[Qtd]],Desc_TabelaToda,TB_Vendas[[#This Row],[Indice]],TRUE)</f>
        <v>0.15</v>
      </c>
      <c r="J49" s="67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67">
        <f>_xlfn.XLOOKUP(TB_Vendas[[#This Row],[Vendedor]],Vendedores!$A$5:$A$9,Vendedores!$D$5:$D$9)</f>
        <v>0.2</v>
      </c>
      <c r="L49" s="67">
        <f>IF(TB_Vendas[[#This Row],[Desconto 
(Diretão)]]&lt;=TB_Vendas[[#This Row],[Desconto 
(Vendedor)]],TB_Vendas[[#This Row],[Desconto 
(Diretão)]],TB_Vendas[[#This Row],[Desconto 
(Vendedor)]])</f>
        <v>0.15</v>
      </c>
      <c r="M49" s="8">
        <f>TB_Vendas[[#This Row],[Preço Unitário]]*TB_Vendas[[#This Row],[Qtd]]</f>
        <v>182.8</v>
      </c>
      <c r="N49" s="1" t="s">
        <v>126</v>
      </c>
    </row>
    <row r="50" spans="1:14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>
        <f>_xlfn.XLOOKUP(TB_Vendas[[#This Row],[Código]],TB_Produtos[Código],TB_Produtos[Categoria])</f>
        <v>Acessórios</v>
      </c>
      <c r="F50" s="1">
        <v>4</v>
      </c>
      <c r="G50" s="28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67">
        <f>VLOOKUP(TB_Vendas[[#This Row],[Qtd]],Desc_TabelaToda,TB_Vendas[[#This Row],[Indice]],TRUE)</f>
        <v>0.15</v>
      </c>
      <c r="J50" s="67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67">
        <f>_xlfn.XLOOKUP(TB_Vendas[[#This Row],[Vendedor]],Vendedores!$A$5:$A$9,Vendedores!$D$5:$D$9)</f>
        <v>0.15</v>
      </c>
      <c r="L50" s="67">
        <f>IF(TB_Vendas[[#This Row],[Desconto 
(Diretão)]]&lt;=TB_Vendas[[#This Row],[Desconto 
(Vendedor)]],TB_Vendas[[#This Row],[Desconto 
(Diretão)]],TB_Vendas[[#This Row],[Desconto 
(Vendedor)]])</f>
        <v>0.15</v>
      </c>
      <c r="M50" s="8">
        <f>TB_Vendas[[#This Row],[Preço Unitário]]*TB_Vendas[[#This Row],[Qtd]]</f>
        <v>1039.5999999999999</v>
      </c>
      <c r="N50" s="1" t="s">
        <v>127</v>
      </c>
    </row>
    <row r="51" spans="1:14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>
        <f>_xlfn.XLOOKUP(TB_Vendas[[#This Row],[Código]],TB_Produtos[Código],TB_Produtos[Categoria])</f>
        <v>Acessórios</v>
      </c>
      <c r="F51" s="1">
        <v>3</v>
      </c>
      <c r="G51" s="28">
        <f>VLOOKUP(TB_Vendas[[#This Row],[Código]],Produtos!$B$6:$G$66,6,0)</f>
        <v>145</v>
      </c>
      <c r="H51" s="1">
        <f>_xlfn.XMATCH(TB_Vendas[[#This Row],[Categoria]],Desc_Categorias,0)</f>
        <v>2</v>
      </c>
      <c r="I51" s="67">
        <f>VLOOKUP(TB_Vendas[[#This Row],[Qtd]],Desc_TabelaToda,TB_Vendas[[#This Row],[Indice]],TRUE)</f>
        <v>0.15</v>
      </c>
      <c r="J51" s="67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67">
        <f>_xlfn.XLOOKUP(TB_Vendas[[#This Row],[Vendedor]],Vendedores!$A$5:$A$9,Vendedores!$D$5:$D$9)</f>
        <v>0.2</v>
      </c>
      <c r="L51" s="67">
        <f>IF(TB_Vendas[[#This Row],[Desconto 
(Diretão)]]&lt;=TB_Vendas[[#This Row],[Desconto 
(Vendedor)]],TB_Vendas[[#This Row],[Desconto 
(Diretão)]],TB_Vendas[[#This Row],[Desconto 
(Vendedor)]])</f>
        <v>0.15</v>
      </c>
      <c r="M51" s="8">
        <f>TB_Vendas[[#This Row],[Preço Unitário]]*TB_Vendas[[#This Row],[Qtd]]</f>
        <v>435</v>
      </c>
      <c r="N51" s="1" t="s">
        <v>126</v>
      </c>
    </row>
    <row r="52" spans="1:14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>
        <f>_xlfn.XLOOKUP(TB_Vendas[[#This Row],[Código]],TB_Produtos[Código],TB_Produtos[Categoria])</f>
        <v>Vestuário</v>
      </c>
      <c r="F52" s="1">
        <v>2</v>
      </c>
      <c r="G52" s="28">
        <f>VLOOKUP(TB_Vendas[[#This Row],[Código]],Produtos!$B$6:$G$66,6,0)</f>
        <v>142.9</v>
      </c>
      <c r="H52" s="1">
        <f>_xlfn.XMATCH(TB_Vendas[[#This Row],[Categoria]],Desc_Categorias,0)</f>
        <v>3</v>
      </c>
      <c r="I52" s="67">
        <f>VLOOKUP(TB_Vendas[[#This Row],[Qtd]],Desc_TabelaToda,TB_Vendas[[#This Row],[Indice]],TRUE)</f>
        <v>0.15</v>
      </c>
      <c r="J52" s="67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67">
        <f>_xlfn.XLOOKUP(TB_Vendas[[#This Row],[Vendedor]],Vendedores!$A$5:$A$9,Vendedores!$D$5:$D$9)</f>
        <v>0.1</v>
      </c>
      <c r="L52" s="67">
        <f>IF(TB_Vendas[[#This Row],[Desconto 
(Diretão)]]&lt;=TB_Vendas[[#This Row],[Desconto 
(Vendedor)]],TB_Vendas[[#This Row],[Desconto 
(Diretão)]],TB_Vendas[[#This Row],[Desconto 
(Vendedor)]])</f>
        <v>0.1</v>
      </c>
      <c r="M52" s="8">
        <f>TB_Vendas[[#This Row],[Preço Unitário]]*TB_Vendas[[#This Row],[Qtd]]</f>
        <v>285.8</v>
      </c>
      <c r="N52" s="1" t="s">
        <v>128</v>
      </c>
    </row>
    <row r="53" spans="1:14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>
        <f>_xlfn.XLOOKUP(TB_Vendas[[#This Row],[Código]],TB_Produtos[Código],TB_Produtos[Categoria])</f>
        <v>Vestuário</v>
      </c>
      <c r="F53" s="1">
        <v>2</v>
      </c>
      <c r="G53" s="28">
        <f>VLOOKUP(TB_Vendas[[#This Row],[Código]],Produtos!$B$6:$G$66,6,0)</f>
        <v>180</v>
      </c>
      <c r="H53" s="1">
        <f>_xlfn.XMATCH(TB_Vendas[[#This Row],[Categoria]],Desc_Categorias,0)</f>
        <v>3</v>
      </c>
      <c r="I53" s="67">
        <f>VLOOKUP(TB_Vendas[[#This Row],[Qtd]],Desc_TabelaToda,TB_Vendas[[#This Row],[Indice]],TRUE)</f>
        <v>0.15</v>
      </c>
      <c r="J53" s="67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67">
        <f>_xlfn.XLOOKUP(TB_Vendas[[#This Row],[Vendedor]],Vendedores!$A$5:$A$9,Vendedores!$D$5:$D$9)</f>
        <v>0.2</v>
      </c>
      <c r="L53" s="67">
        <f>IF(TB_Vendas[[#This Row],[Desconto 
(Diretão)]]&lt;=TB_Vendas[[#This Row],[Desconto 
(Vendedor)]],TB_Vendas[[#This Row],[Desconto 
(Diretão)]],TB_Vendas[[#This Row],[Desconto 
(Vendedor)]])</f>
        <v>0.15</v>
      </c>
      <c r="M53" s="8">
        <f>TB_Vendas[[#This Row],[Preço Unitário]]*TB_Vendas[[#This Row],[Qtd]]</f>
        <v>360</v>
      </c>
      <c r="N53" s="1" t="s">
        <v>126</v>
      </c>
    </row>
    <row r="54" spans="1:14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>
        <f>_xlfn.XLOOKUP(TB_Vendas[[#This Row],[Código]],TB_Produtos[Código],TB_Produtos[Categoria])</f>
        <v>Vestuário</v>
      </c>
      <c r="F54" s="1">
        <v>2</v>
      </c>
      <c r="G54" s="28">
        <f>VLOOKUP(TB_Vendas[[#This Row],[Código]],Produtos!$B$6:$G$66,6,0)</f>
        <v>42.5</v>
      </c>
      <c r="H54" s="1">
        <f>_xlfn.XMATCH(TB_Vendas[[#This Row],[Categoria]],Desc_Categorias,0)</f>
        <v>3</v>
      </c>
      <c r="I54" s="67">
        <f>VLOOKUP(TB_Vendas[[#This Row],[Qtd]],Desc_TabelaToda,TB_Vendas[[#This Row],[Indice]],TRUE)</f>
        <v>0.15</v>
      </c>
      <c r="J54" s="67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67">
        <f>_xlfn.XLOOKUP(TB_Vendas[[#This Row],[Vendedor]],Vendedores!$A$5:$A$9,Vendedores!$D$5:$D$9)</f>
        <v>0.1</v>
      </c>
      <c r="L54" s="67">
        <f>IF(TB_Vendas[[#This Row],[Desconto 
(Diretão)]]&lt;=TB_Vendas[[#This Row],[Desconto 
(Vendedor)]],TB_Vendas[[#This Row],[Desconto 
(Diretão)]],TB_Vendas[[#This Row],[Desconto 
(Vendedor)]])</f>
        <v>0.1</v>
      </c>
      <c r="M54" s="8">
        <f>TB_Vendas[[#This Row],[Preço Unitário]]*TB_Vendas[[#This Row],[Qtd]]</f>
        <v>85</v>
      </c>
      <c r="N54" s="1" t="s">
        <v>128</v>
      </c>
    </row>
    <row r="55" spans="1:14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>
        <f>_xlfn.XLOOKUP(TB_Vendas[[#This Row],[Código]],TB_Produtos[Código],TB_Produtos[Categoria])</f>
        <v>Vestuário</v>
      </c>
      <c r="F55" s="1">
        <v>1</v>
      </c>
      <c r="G55" s="28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67">
        <f>VLOOKUP(TB_Vendas[[#This Row],[Qtd]],Desc_TabelaToda,TB_Vendas[[#This Row],[Indice]],TRUE)</f>
        <v>0.1</v>
      </c>
      <c r="J55" s="67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67">
        <f>_xlfn.XLOOKUP(TB_Vendas[[#This Row],[Vendedor]],Vendedores!$A$5:$A$9,Vendedores!$D$5:$D$9)</f>
        <v>0.15</v>
      </c>
      <c r="L55" s="67">
        <f>IF(TB_Vendas[[#This Row],[Desconto 
(Diretão)]]&lt;=TB_Vendas[[#This Row],[Desconto 
(Vendedor)]],TB_Vendas[[#This Row],[Desconto 
(Diretão)]],TB_Vendas[[#This Row],[Desconto 
(Vendedor)]])</f>
        <v>0.1</v>
      </c>
      <c r="M55" s="8">
        <f>TB_Vendas[[#This Row],[Preço Unitário]]*TB_Vendas[[#This Row],[Qtd]]</f>
        <v>65.900000000000006</v>
      </c>
      <c r="N55" s="1" t="s">
        <v>127</v>
      </c>
    </row>
    <row r="56" spans="1:14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>
        <f>_xlfn.XLOOKUP(TB_Vendas[[#This Row],[Código]],TB_Produtos[Código],TB_Produtos[Categoria])</f>
        <v>Vestuário</v>
      </c>
      <c r="F56" s="1">
        <v>1</v>
      </c>
      <c r="G56" s="28">
        <f>VLOOKUP(TB_Vendas[[#This Row],[Código]],Produtos!$B$6:$G$66,6,0)</f>
        <v>180</v>
      </c>
      <c r="H56" s="1">
        <f>_xlfn.XMATCH(TB_Vendas[[#This Row],[Categoria]],Desc_Categorias,0)</f>
        <v>3</v>
      </c>
      <c r="I56" s="67">
        <f>VLOOKUP(TB_Vendas[[#This Row],[Qtd]],Desc_TabelaToda,TB_Vendas[[#This Row],[Indice]],TRUE)</f>
        <v>0.1</v>
      </c>
      <c r="J56" s="67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67">
        <f>_xlfn.XLOOKUP(TB_Vendas[[#This Row],[Vendedor]],Vendedores!$A$5:$A$9,Vendedores!$D$5:$D$9)</f>
        <v>0.1</v>
      </c>
      <c r="L56" s="67">
        <f>IF(TB_Vendas[[#This Row],[Desconto 
(Diretão)]]&lt;=TB_Vendas[[#This Row],[Desconto 
(Vendedor)]],TB_Vendas[[#This Row],[Desconto 
(Diretão)]],TB_Vendas[[#This Row],[Desconto 
(Vendedor)]])</f>
        <v>0.1</v>
      </c>
      <c r="M56" s="8">
        <f>TB_Vendas[[#This Row],[Preço Unitário]]*TB_Vendas[[#This Row],[Qtd]]</f>
        <v>180</v>
      </c>
      <c r="N56" s="1" t="s">
        <v>128</v>
      </c>
    </row>
    <row r="57" spans="1:14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>
        <f>_xlfn.XLOOKUP(TB_Vendas[[#This Row],[Código]],TB_Produtos[Código],TB_Produtos[Categoria])</f>
        <v>Vestuário</v>
      </c>
      <c r="F57" s="1">
        <v>3</v>
      </c>
      <c r="G57" s="28">
        <f>VLOOKUP(TB_Vendas[[#This Row],[Código]],Produtos!$B$6:$G$66,6,0)</f>
        <v>32.9</v>
      </c>
      <c r="H57" s="1">
        <f>_xlfn.XMATCH(TB_Vendas[[#This Row],[Categoria]],Desc_Categorias,0)</f>
        <v>3</v>
      </c>
      <c r="I57" s="67">
        <f>VLOOKUP(TB_Vendas[[#This Row],[Qtd]],Desc_TabelaToda,TB_Vendas[[#This Row],[Indice]],TRUE)</f>
        <v>0.2</v>
      </c>
      <c r="J57" s="67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67">
        <f>_xlfn.XLOOKUP(TB_Vendas[[#This Row],[Vendedor]],Vendedores!$A$5:$A$9,Vendedores!$D$5:$D$9)</f>
        <v>0.15</v>
      </c>
      <c r="L57" s="67">
        <f>IF(TB_Vendas[[#This Row],[Desconto 
(Diretão)]]&lt;=TB_Vendas[[#This Row],[Desconto 
(Vendedor)]],TB_Vendas[[#This Row],[Desconto 
(Diretão)]],TB_Vendas[[#This Row],[Desconto 
(Vendedor)]])</f>
        <v>0.15</v>
      </c>
      <c r="M57" s="8">
        <f>TB_Vendas[[#This Row],[Preço Unitário]]*TB_Vendas[[#This Row],[Qtd]]</f>
        <v>98.699999999999989</v>
      </c>
      <c r="N57" s="1" t="s">
        <v>127</v>
      </c>
    </row>
    <row r="58" spans="1:14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>
        <f>_xlfn.XLOOKUP(TB_Vendas[[#This Row],[Código]],TB_Produtos[Código],TB_Produtos[Categoria])</f>
        <v>Vestuário</v>
      </c>
      <c r="F58" s="1">
        <v>4</v>
      </c>
      <c r="G58" s="28">
        <f>VLOOKUP(TB_Vendas[[#This Row],[Código]],Produtos!$B$6:$G$66,6,0)</f>
        <v>92.9</v>
      </c>
      <c r="H58" s="1">
        <f>_xlfn.XMATCH(TB_Vendas[[#This Row],[Categoria]],Desc_Categorias,0)</f>
        <v>3</v>
      </c>
      <c r="I58" s="67">
        <f>VLOOKUP(TB_Vendas[[#This Row],[Qtd]],Desc_TabelaToda,TB_Vendas[[#This Row],[Indice]],TRUE)</f>
        <v>0.2</v>
      </c>
      <c r="J58" s="67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67">
        <f>_xlfn.XLOOKUP(TB_Vendas[[#This Row],[Vendedor]],Vendedores!$A$5:$A$9,Vendedores!$D$5:$D$9)</f>
        <v>0.2</v>
      </c>
      <c r="L58" s="67">
        <f>IF(TB_Vendas[[#This Row],[Desconto 
(Diretão)]]&lt;=TB_Vendas[[#This Row],[Desconto 
(Vendedor)]],TB_Vendas[[#This Row],[Desconto 
(Diretão)]],TB_Vendas[[#This Row],[Desconto 
(Vendedor)]])</f>
        <v>0.2</v>
      </c>
      <c r="M58" s="8">
        <f>TB_Vendas[[#This Row],[Preço Unitário]]*TB_Vendas[[#This Row],[Qtd]]</f>
        <v>371.6</v>
      </c>
      <c r="N58" s="1" t="s">
        <v>126</v>
      </c>
    </row>
    <row r="59" spans="1:14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>
        <f>_xlfn.XLOOKUP(TB_Vendas[[#This Row],[Código]],TB_Produtos[Código],TB_Produtos[Categoria])</f>
        <v>Calçado</v>
      </c>
      <c r="F59" s="1">
        <v>2</v>
      </c>
      <c r="G59" s="28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67">
        <f>VLOOKUP(TB_Vendas[[#This Row],[Qtd]],Desc_TabelaToda,TB_Vendas[[#This Row],[Indice]],TRUE)</f>
        <v>0.1</v>
      </c>
      <c r="J59" s="67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67">
        <f>_xlfn.XLOOKUP(TB_Vendas[[#This Row],[Vendedor]],Vendedores!$A$5:$A$9,Vendedores!$D$5:$D$9)</f>
        <v>0.1</v>
      </c>
      <c r="L59" s="67">
        <f>IF(TB_Vendas[[#This Row],[Desconto 
(Diretão)]]&lt;=TB_Vendas[[#This Row],[Desconto 
(Vendedor)]],TB_Vendas[[#This Row],[Desconto 
(Diretão)]],TB_Vendas[[#This Row],[Desconto 
(Vendedor)]])</f>
        <v>0.1</v>
      </c>
      <c r="M59" s="8">
        <f>TB_Vendas[[#This Row],[Preço Unitário]]*TB_Vendas[[#This Row],[Qtd]]</f>
        <v>519.79999999999995</v>
      </c>
      <c r="N59" s="1" t="s">
        <v>128</v>
      </c>
    </row>
    <row r="60" spans="1:14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>
        <f>_xlfn.XLOOKUP(TB_Vendas[[#This Row],[Código]],TB_Produtos[Código],TB_Produtos[Categoria])</f>
        <v>Vestuário</v>
      </c>
      <c r="F60" s="1">
        <v>1</v>
      </c>
      <c r="G60" s="28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67">
        <f>VLOOKUP(TB_Vendas[[#This Row],[Qtd]],Desc_TabelaToda,TB_Vendas[[#This Row],[Indice]],TRUE)</f>
        <v>0.1</v>
      </c>
      <c r="J60" s="67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67">
        <f>_xlfn.XLOOKUP(TB_Vendas[[#This Row],[Vendedor]],Vendedores!$A$5:$A$9,Vendedores!$D$5:$D$9)</f>
        <v>0.15</v>
      </c>
      <c r="L60" s="67">
        <f>IF(TB_Vendas[[#This Row],[Desconto 
(Diretão)]]&lt;=TB_Vendas[[#This Row],[Desconto 
(Vendedor)]],TB_Vendas[[#This Row],[Desconto 
(Diretão)]],TB_Vendas[[#This Row],[Desconto 
(Vendedor)]])</f>
        <v>0.1</v>
      </c>
      <c r="M60" s="8">
        <f>TB_Vendas[[#This Row],[Preço Unitário]]*TB_Vendas[[#This Row],[Qtd]]</f>
        <v>259.89999999999998</v>
      </c>
      <c r="N60" s="1" t="s">
        <v>130</v>
      </c>
    </row>
    <row r="61" spans="1:14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>
        <f>_xlfn.XLOOKUP(TB_Vendas[[#This Row],[Código]],TB_Produtos[Código],TB_Produtos[Categoria])</f>
        <v>Vestuário</v>
      </c>
      <c r="F61" s="1">
        <v>5</v>
      </c>
      <c r="G61" s="28">
        <f>VLOOKUP(TB_Vendas[[#This Row],[Código]],Produtos!$B$6:$G$66,6,0)</f>
        <v>42.5</v>
      </c>
      <c r="H61" s="1">
        <f>_xlfn.XMATCH(TB_Vendas[[#This Row],[Categoria]],Desc_Categorias,0)</f>
        <v>3</v>
      </c>
      <c r="I61" s="67">
        <f>VLOOKUP(TB_Vendas[[#This Row],[Qtd]],Desc_TabelaToda,TB_Vendas[[#This Row],[Indice]],TRUE)</f>
        <v>0.25</v>
      </c>
      <c r="J61" s="67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67">
        <f>_xlfn.XLOOKUP(TB_Vendas[[#This Row],[Vendedor]],Vendedores!$A$5:$A$9,Vendedores!$D$5:$D$9)</f>
        <v>0.15</v>
      </c>
      <c r="L61" s="67">
        <f>IF(TB_Vendas[[#This Row],[Desconto 
(Diretão)]]&lt;=TB_Vendas[[#This Row],[Desconto 
(Vendedor)]],TB_Vendas[[#This Row],[Desconto 
(Diretão)]],TB_Vendas[[#This Row],[Desconto 
(Vendedor)]])</f>
        <v>0.15</v>
      </c>
      <c r="M61" s="8">
        <f>TB_Vendas[[#This Row],[Preço Unitário]]*TB_Vendas[[#This Row],[Qtd]]</f>
        <v>212.5</v>
      </c>
      <c r="N61" s="1" t="s">
        <v>130</v>
      </c>
    </row>
    <row r="62" spans="1:14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>
        <f>_xlfn.XLOOKUP(TB_Vendas[[#This Row],[Código]],TB_Produtos[Código],TB_Produtos[Categoria])</f>
        <v>Vestuário</v>
      </c>
      <c r="F62" s="1">
        <v>2</v>
      </c>
      <c r="G62" s="28">
        <f>VLOOKUP(TB_Vendas[[#This Row],[Código]],Produtos!$B$6:$G$66,6,0)</f>
        <v>32.9</v>
      </c>
      <c r="H62" s="1">
        <f>_xlfn.XMATCH(TB_Vendas[[#This Row],[Categoria]],Desc_Categorias,0)</f>
        <v>3</v>
      </c>
      <c r="I62" s="67">
        <f>VLOOKUP(TB_Vendas[[#This Row],[Qtd]],Desc_TabelaToda,TB_Vendas[[#This Row],[Indice]],TRUE)</f>
        <v>0.15</v>
      </c>
      <c r="J62" s="67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67">
        <f>_xlfn.XLOOKUP(TB_Vendas[[#This Row],[Vendedor]],Vendedores!$A$5:$A$9,Vendedores!$D$5:$D$9)</f>
        <v>0.15</v>
      </c>
      <c r="L62" s="67">
        <f>IF(TB_Vendas[[#This Row],[Desconto 
(Diretão)]]&lt;=TB_Vendas[[#This Row],[Desconto 
(Vendedor)]],TB_Vendas[[#This Row],[Desconto 
(Diretão)]],TB_Vendas[[#This Row],[Desconto 
(Vendedor)]])</f>
        <v>0.15</v>
      </c>
      <c r="M62" s="8">
        <f>TB_Vendas[[#This Row],[Preço Unitário]]*TB_Vendas[[#This Row],[Qtd]]</f>
        <v>65.8</v>
      </c>
      <c r="N62" s="1" t="s">
        <v>130</v>
      </c>
    </row>
    <row r="63" spans="1:14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>
        <f>_xlfn.XLOOKUP(TB_Vendas[[#This Row],[Código]],TB_Produtos[Código],TB_Produtos[Categoria])</f>
        <v>Vestuário</v>
      </c>
      <c r="F63" s="1">
        <v>3</v>
      </c>
      <c r="G63" s="28">
        <f>VLOOKUP(TB_Vendas[[#This Row],[Código]],Produtos!$B$6:$G$66,6,0)</f>
        <v>92.9</v>
      </c>
      <c r="H63" s="1">
        <f>_xlfn.XMATCH(TB_Vendas[[#This Row],[Categoria]],Desc_Categorias,0)</f>
        <v>3</v>
      </c>
      <c r="I63" s="67">
        <f>VLOOKUP(TB_Vendas[[#This Row],[Qtd]],Desc_TabelaToda,TB_Vendas[[#This Row],[Indice]],TRUE)</f>
        <v>0.2</v>
      </c>
      <c r="J63" s="67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67">
        <f>_xlfn.XLOOKUP(TB_Vendas[[#This Row],[Vendedor]],Vendedores!$A$5:$A$9,Vendedores!$D$5:$D$9)</f>
        <v>0.2</v>
      </c>
      <c r="L63" s="67">
        <f>IF(TB_Vendas[[#This Row],[Desconto 
(Diretão)]]&lt;=TB_Vendas[[#This Row],[Desconto 
(Vendedor)]],TB_Vendas[[#This Row],[Desconto 
(Diretão)]],TB_Vendas[[#This Row],[Desconto 
(Vendedor)]])</f>
        <v>0.2</v>
      </c>
      <c r="M63" s="8">
        <f>TB_Vendas[[#This Row],[Preço Unitário]]*TB_Vendas[[#This Row],[Qtd]]</f>
        <v>278.70000000000005</v>
      </c>
      <c r="N63" s="1" t="s">
        <v>126</v>
      </c>
    </row>
    <row r="64" spans="1:14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>
        <f>_xlfn.XLOOKUP(TB_Vendas[[#This Row],[Código]],TB_Produtos[Código],TB_Produtos[Categoria])</f>
        <v>Vestuário</v>
      </c>
      <c r="F64" s="1">
        <v>10</v>
      </c>
      <c r="G64" s="28">
        <f>VLOOKUP(TB_Vendas[[#This Row],[Código]],Produtos!$B$6:$G$66,6,0)</f>
        <v>25.9</v>
      </c>
      <c r="H64" s="1">
        <f>_xlfn.XMATCH(TB_Vendas[[#This Row],[Categoria]],Desc_Categorias,0)</f>
        <v>3</v>
      </c>
      <c r="I64" s="67">
        <f>VLOOKUP(TB_Vendas[[#This Row],[Qtd]],Desc_TabelaToda,TB_Vendas[[#This Row],[Indice]],TRUE)</f>
        <v>0.3</v>
      </c>
      <c r="J64" s="67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67">
        <f>_xlfn.XLOOKUP(TB_Vendas[[#This Row],[Vendedor]],Vendedores!$A$5:$A$9,Vendedores!$D$5:$D$9)</f>
        <v>0.2</v>
      </c>
      <c r="L64" s="67">
        <f>IF(TB_Vendas[[#This Row],[Desconto 
(Diretão)]]&lt;=TB_Vendas[[#This Row],[Desconto 
(Vendedor)]],TB_Vendas[[#This Row],[Desconto 
(Diretão)]],TB_Vendas[[#This Row],[Desconto 
(Vendedor)]])</f>
        <v>0.2</v>
      </c>
      <c r="M64" s="8">
        <f>TB_Vendas[[#This Row],[Preço Unitário]]*TB_Vendas[[#This Row],[Qtd]]</f>
        <v>259</v>
      </c>
      <c r="N64" s="1" t="s">
        <v>126</v>
      </c>
    </row>
    <row r="65" spans="1:14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>
        <f>_xlfn.XLOOKUP(TB_Vendas[[#This Row],[Código]],TB_Produtos[Código],TB_Produtos[Categoria])</f>
        <v>Vestuário</v>
      </c>
      <c r="F65" s="1">
        <v>1</v>
      </c>
      <c r="G65" s="28">
        <f>VLOOKUP(TB_Vendas[[#This Row],[Código]],Produtos!$B$6:$G$66,6,0)</f>
        <v>72.5</v>
      </c>
      <c r="H65" s="1">
        <f>_xlfn.XMATCH(TB_Vendas[[#This Row],[Categoria]],Desc_Categorias,0)</f>
        <v>3</v>
      </c>
      <c r="I65" s="67">
        <f>VLOOKUP(TB_Vendas[[#This Row],[Qtd]],Desc_TabelaToda,TB_Vendas[[#This Row],[Indice]],TRUE)</f>
        <v>0.1</v>
      </c>
      <c r="J65" s="67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67">
        <f>_xlfn.XLOOKUP(TB_Vendas[[#This Row],[Vendedor]],Vendedores!$A$5:$A$9,Vendedores!$D$5:$D$9)</f>
        <v>0.15</v>
      </c>
      <c r="L65" s="67">
        <f>IF(TB_Vendas[[#This Row],[Desconto 
(Diretão)]]&lt;=TB_Vendas[[#This Row],[Desconto 
(Vendedor)]],TB_Vendas[[#This Row],[Desconto 
(Diretão)]],TB_Vendas[[#This Row],[Desconto 
(Vendedor)]])</f>
        <v>0.1</v>
      </c>
      <c r="M65" s="8">
        <f>TB_Vendas[[#This Row],[Preço Unitário]]*TB_Vendas[[#This Row],[Qtd]]</f>
        <v>72.5</v>
      </c>
      <c r="N65" s="1" t="s">
        <v>127</v>
      </c>
    </row>
    <row r="66" spans="1:14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>
        <f>_xlfn.XLOOKUP(TB_Vendas[[#This Row],[Código]],TB_Produtos[Código],TB_Produtos[Categoria])</f>
        <v>Vestuário</v>
      </c>
      <c r="F66" s="1">
        <v>4</v>
      </c>
      <c r="G66" s="28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67">
        <f>VLOOKUP(TB_Vendas[[#This Row],[Qtd]],Desc_TabelaToda,TB_Vendas[[#This Row],[Indice]],TRUE)</f>
        <v>0.2</v>
      </c>
      <c r="J66" s="67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67">
        <f>_xlfn.XLOOKUP(TB_Vendas[[#This Row],[Vendedor]],Vendedores!$A$5:$A$9,Vendedores!$D$5:$D$9)</f>
        <v>0.15</v>
      </c>
      <c r="L66" s="67">
        <f>IF(TB_Vendas[[#This Row],[Desconto 
(Diretão)]]&lt;=TB_Vendas[[#This Row],[Desconto 
(Vendedor)]],TB_Vendas[[#This Row],[Desconto 
(Diretão)]],TB_Vendas[[#This Row],[Desconto 
(Vendedor)]])</f>
        <v>0.15</v>
      </c>
      <c r="M66" s="8">
        <f>TB_Vendas[[#This Row],[Preço Unitário]]*TB_Vendas[[#This Row],[Qtd]]</f>
        <v>1211.5999999999999</v>
      </c>
      <c r="N66" s="1" t="s">
        <v>130</v>
      </c>
    </row>
    <row r="67" spans="1:14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>
        <f>_xlfn.XLOOKUP(TB_Vendas[[#This Row],[Código]],TB_Produtos[Código],TB_Produtos[Categoria])</f>
        <v>Vestuário</v>
      </c>
      <c r="F67" s="1">
        <v>8</v>
      </c>
      <c r="G67" s="28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67">
        <f>VLOOKUP(TB_Vendas[[#This Row],[Qtd]],Desc_TabelaToda,TB_Vendas[[#This Row],[Indice]],TRUE)</f>
        <v>0.25</v>
      </c>
      <c r="J67" s="67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67">
        <f>_xlfn.XLOOKUP(TB_Vendas[[#This Row],[Vendedor]],Vendedores!$A$5:$A$9,Vendedores!$D$5:$D$9)</f>
        <v>0.2</v>
      </c>
      <c r="L67" s="67">
        <f>IF(TB_Vendas[[#This Row],[Desconto 
(Diretão)]]&lt;=TB_Vendas[[#This Row],[Desconto 
(Vendedor)]],TB_Vendas[[#This Row],[Desconto 
(Diretão)]],TB_Vendas[[#This Row],[Desconto 
(Vendedor)]])</f>
        <v>0.2</v>
      </c>
      <c r="M67" s="8">
        <f>TB_Vendas[[#This Row],[Preço Unitário]]*TB_Vendas[[#This Row],[Qtd]]</f>
        <v>2319.1999999999998</v>
      </c>
      <c r="N67" s="1" t="s">
        <v>126</v>
      </c>
    </row>
    <row r="68" spans="1:14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>
        <f>_xlfn.XLOOKUP(TB_Vendas[[#This Row],[Código]],TB_Produtos[Código],TB_Produtos[Categoria])</f>
        <v>Vestuário</v>
      </c>
      <c r="F68" s="1">
        <v>2</v>
      </c>
      <c r="G68" s="28">
        <f>VLOOKUP(TB_Vendas[[#This Row],[Código]],Produtos!$B$6:$G$66,6,0)</f>
        <v>54.9</v>
      </c>
      <c r="H68" s="1">
        <f>_xlfn.XMATCH(TB_Vendas[[#This Row],[Categoria]],Desc_Categorias,0)</f>
        <v>3</v>
      </c>
      <c r="I68" s="67">
        <f>VLOOKUP(TB_Vendas[[#This Row],[Qtd]],Desc_TabelaToda,TB_Vendas[[#This Row],[Indice]],TRUE)</f>
        <v>0.15</v>
      </c>
      <c r="J68" s="67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67">
        <f>_xlfn.XLOOKUP(TB_Vendas[[#This Row],[Vendedor]],Vendedores!$A$5:$A$9,Vendedores!$D$5:$D$9)</f>
        <v>0.2</v>
      </c>
      <c r="L68" s="67">
        <f>IF(TB_Vendas[[#This Row],[Desconto 
(Diretão)]]&lt;=TB_Vendas[[#This Row],[Desconto 
(Vendedor)]],TB_Vendas[[#This Row],[Desconto 
(Diretão)]],TB_Vendas[[#This Row],[Desconto 
(Vendedor)]])</f>
        <v>0.15</v>
      </c>
      <c r="M68" s="8">
        <f>TB_Vendas[[#This Row],[Preço Unitário]]*TB_Vendas[[#This Row],[Qtd]]</f>
        <v>109.8</v>
      </c>
      <c r="N68" s="1" t="s">
        <v>126</v>
      </c>
    </row>
    <row r="69" spans="1:14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>
        <f>_xlfn.XLOOKUP(TB_Vendas[[#This Row],[Código]],TB_Produtos[Código],TB_Produtos[Categoria])</f>
        <v>Vestuário</v>
      </c>
      <c r="F69" s="1">
        <v>2</v>
      </c>
      <c r="G69" s="28">
        <f>VLOOKUP(TB_Vendas[[#This Row],[Código]],Produtos!$B$6:$G$66,6,0)</f>
        <v>39.9</v>
      </c>
      <c r="H69" s="1">
        <f>_xlfn.XMATCH(TB_Vendas[[#This Row],[Categoria]],Desc_Categorias,0)</f>
        <v>3</v>
      </c>
      <c r="I69" s="67">
        <f>VLOOKUP(TB_Vendas[[#This Row],[Qtd]],Desc_TabelaToda,TB_Vendas[[#This Row],[Indice]],TRUE)</f>
        <v>0.15</v>
      </c>
      <c r="J69" s="67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67">
        <f>_xlfn.XLOOKUP(TB_Vendas[[#This Row],[Vendedor]],Vendedores!$A$5:$A$9,Vendedores!$D$5:$D$9)</f>
        <v>0.15</v>
      </c>
      <c r="L69" s="67">
        <f>IF(TB_Vendas[[#This Row],[Desconto 
(Diretão)]]&lt;=TB_Vendas[[#This Row],[Desconto 
(Vendedor)]],TB_Vendas[[#This Row],[Desconto 
(Diretão)]],TB_Vendas[[#This Row],[Desconto 
(Vendedor)]])</f>
        <v>0.15</v>
      </c>
      <c r="M69" s="8">
        <f>TB_Vendas[[#This Row],[Preço Unitário]]*TB_Vendas[[#This Row],[Qtd]]</f>
        <v>79.8</v>
      </c>
      <c r="N69" s="1" t="s">
        <v>130</v>
      </c>
    </row>
    <row r="70" spans="1:14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>
        <f>_xlfn.XLOOKUP(TB_Vendas[[#This Row],[Código]],TB_Produtos[Código],TB_Produtos[Categoria])</f>
        <v>Vestuário</v>
      </c>
      <c r="F70" s="1">
        <v>7</v>
      </c>
      <c r="G70" s="28">
        <f>VLOOKUP(TB_Vendas[[#This Row],[Código]],Produtos!$B$6:$G$66,6,0)</f>
        <v>54.9</v>
      </c>
      <c r="H70" s="1">
        <f>_xlfn.XMATCH(TB_Vendas[[#This Row],[Categoria]],Desc_Categorias,0)</f>
        <v>3</v>
      </c>
      <c r="I70" s="67">
        <f>VLOOKUP(TB_Vendas[[#This Row],[Qtd]],Desc_TabelaToda,TB_Vendas[[#This Row],[Indice]],TRUE)</f>
        <v>0.25</v>
      </c>
      <c r="J70" s="67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67">
        <f>_xlfn.XLOOKUP(TB_Vendas[[#This Row],[Vendedor]],Vendedores!$A$5:$A$9,Vendedores!$D$5:$D$9)</f>
        <v>0.2</v>
      </c>
      <c r="L70" s="67">
        <f>IF(TB_Vendas[[#This Row],[Desconto 
(Diretão)]]&lt;=TB_Vendas[[#This Row],[Desconto 
(Vendedor)]],TB_Vendas[[#This Row],[Desconto 
(Diretão)]],TB_Vendas[[#This Row],[Desconto 
(Vendedor)]])</f>
        <v>0.2</v>
      </c>
      <c r="M70" s="8">
        <f>TB_Vendas[[#This Row],[Preço Unitário]]*TB_Vendas[[#This Row],[Qtd]]</f>
        <v>384.3</v>
      </c>
      <c r="N70" s="1" t="s">
        <v>129</v>
      </c>
    </row>
    <row r="71" spans="1:14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>
        <f>_xlfn.XLOOKUP(TB_Vendas[[#This Row],[Código]],TB_Produtos[Código],TB_Produtos[Categoria])</f>
        <v>Vestuário</v>
      </c>
      <c r="F71" s="1">
        <v>4</v>
      </c>
      <c r="G71" s="28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67">
        <f>VLOOKUP(TB_Vendas[[#This Row],[Qtd]],Desc_TabelaToda,TB_Vendas[[#This Row],[Indice]],TRUE)</f>
        <v>0.2</v>
      </c>
      <c r="J71" s="67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67">
        <f>_xlfn.XLOOKUP(TB_Vendas[[#This Row],[Vendedor]],Vendedores!$A$5:$A$9,Vendedores!$D$5:$D$9)</f>
        <v>0.15</v>
      </c>
      <c r="L71" s="67">
        <f>IF(TB_Vendas[[#This Row],[Desconto 
(Diretão)]]&lt;=TB_Vendas[[#This Row],[Desconto 
(Vendedor)]],TB_Vendas[[#This Row],[Desconto 
(Diretão)]],TB_Vendas[[#This Row],[Desconto 
(Vendedor)]])</f>
        <v>0.15</v>
      </c>
      <c r="M71" s="8">
        <f>TB_Vendas[[#This Row],[Preço Unitário]]*TB_Vendas[[#This Row],[Qtd]]</f>
        <v>1199.5999999999999</v>
      </c>
      <c r="N71" s="1" t="s">
        <v>130</v>
      </c>
    </row>
    <row r="72" spans="1:14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>
        <f>_xlfn.XLOOKUP(TB_Vendas[[#This Row],[Código]],TB_Produtos[Código],TB_Produtos[Categoria])</f>
        <v>Vestuário</v>
      </c>
      <c r="F72" s="1">
        <v>3</v>
      </c>
      <c r="G72" s="28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67">
        <f>VLOOKUP(TB_Vendas[[#This Row],[Qtd]],Desc_TabelaToda,TB_Vendas[[#This Row],[Indice]],TRUE)</f>
        <v>0.2</v>
      </c>
      <c r="J72" s="67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67">
        <f>_xlfn.XLOOKUP(TB_Vendas[[#This Row],[Vendedor]],Vendedores!$A$5:$A$9,Vendedores!$D$5:$D$9)</f>
        <v>0.2</v>
      </c>
      <c r="L72" s="67">
        <f>IF(TB_Vendas[[#This Row],[Desconto 
(Diretão)]]&lt;=TB_Vendas[[#This Row],[Desconto 
(Vendedor)]],TB_Vendas[[#This Row],[Desconto 
(Diretão)]],TB_Vendas[[#This Row],[Desconto 
(Vendedor)]])</f>
        <v>0.2</v>
      </c>
      <c r="M72" s="8">
        <f>TB_Vendas[[#This Row],[Preço Unitário]]*TB_Vendas[[#This Row],[Qtd]]</f>
        <v>779.69999999999993</v>
      </c>
      <c r="N72" s="1" t="s">
        <v>129</v>
      </c>
    </row>
    <row r="73" spans="1:14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>
        <f>_xlfn.XLOOKUP(TB_Vendas[[#This Row],[Código]],TB_Produtos[Código],TB_Produtos[Categoria])</f>
        <v>Vestuário</v>
      </c>
      <c r="F73" s="1">
        <v>9</v>
      </c>
      <c r="G73" s="28">
        <f>VLOOKUP(TB_Vendas[[#This Row],[Código]],Produtos!$B$6:$G$66,6,0)</f>
        <v>72.5</v>
      </c>
      <c r="H73" s="1">
        <f>_xlfn.XMATCH(TB_Vendas[[#This Row],[Categoria]],Desc_Categorias,0)</f>
        <v>3</v>
      </c>
      <c r="I73" s="67">
        <f>VLOOKUP(TB_Vendas[[#This Row],[Qtd]],Desc_TabelaToda,TB_Vendas[[#This Row],[Indice]],TRUE)</f>
        <v>0.25</v>
      </c>
      <c r="J73" s="67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67">
        <f>_xlfn.XLOOKUP(TB_Vendas[[#This Row],[Vendedor]],Vendedores!$A$5:$A$9,Vendedores!$D$5:$D$9)</f>
        <v>0.1</v>
      </c>
      <c r="L73" s="67">
        <f>IF(TB_Vendas[[#This Row],[Desconto 
(Diretão)]]&lt;=TB_Vendas[[#This Row],[Desconto 
(Vendedor)]],TB_Vendas[[#This Row],[Desconto 
(Diretão)]],TB_Vendas[[#This Row],[Desconto 
(Vendedor)]])</f>
        <v>0.1</v>
      </c>
      <c r="M73" s="8">
        <f>TB_Vendas[[#This Row],[Preço Unitário]]*TB_Vendas[[#This Row],[Qtd]]</f>
        <v>652.5</v>
      </c>
      <c r="N73" s="1" t="s">
        <v>128</v>
      </c>
    </row>
    <row r="74" spans="1:14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>
        <f>_xlfn.XLOOKUP(TB_Vendas[[#This Row],[Código]],TB_Produtos[Código],TB_Produtos[Categoria])</f>
        <v>Vestuário</v>
      </c>
      <c r="F74" s="1">
        <v>4</v>
      </c>
      <c r="G74" s="28">
        <f>VLOOKUP(TB_Vendas[[#This Row],[Código]],Produtos!$B$6:$G$66,6,0)</f>
        <v>300</v>
      </c>
      <c r="H74" s="1">
        <f>_xlfn.XMATCH(TB_Vendas[[#This Row],[Categoria]],Desc_Categorias,0)</f>
        <v>3</v>
      </c>
      <c r="I74" s="67">
        <f>VLOOKUP(TB_Vendas[[#This Row],[Qtd]],Desc_TabelaToda,TB_Vendas[[#This Row],[Indice]],TRUE)</f>
        <v>0.2</v>
      </c>
      <c r="J74" s="67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67">
        <f>_xlfn.XLOOKUP(TB_Vendas[[#This Row],[Vendedor]],Vendedores!$A$5:$A$9,Vendedores!$D$5:$D$9)</f>
        <v>0.15</v>
      </c>
      <c r="L74" s="67">
        <f>IF(TB_Vendas[[#This Row],[Desconto 
(Diretão)]]&lt;=TB_Vendas[[#This Row],[Desconto 
(Vendedor)]],TB_Vendas[[#This Row],[Desconto 
(Diretão)]],TB_Vendas[[#This Row],[Desconto 
(Vendedor)]])</f>
        <v>0.15</v>
      </c>
      <c r="M74" s="8">
        <f>TB_Vendas[[#This Row],[Preço Unitário]]*TB_Vendas[[#This Row],[Qtd]]</f>
        <v>1200</v>
      </c>
      <c r="N74" s="1" t="s">
        <v>130</v>
      </c>
    </row>
    <row r="75" spans="1:14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>
        <f>_xlfn.XLOOKUP(TB_Vendas[[#This Row],[Código]],TB_Produtos[Código],TB_Produtos[Categoria])</f>
        <v>Vestuário</v>
      </c>
      <c r="F75" s="1">
        <v>9</v>
      </c>
      <c r="G75" s="28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67">
        <f>VLOOKUP(TB_Vendas[[#This Row],[Qtd]],Desc_TabelaToda,TB_Vendas[[#This Row],[Indice]],TRUE)</f>
        <v>0.25</v>
      </c>
      <c r="J75" s="67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67">
        <f>_xlfn.XLOOKUP(TB_Vendas[[#This Row],[Vendedor]],Vendedores!$A$5:$A$9,Vendedores!$D$5:$D$9)</f>
        <v>0.15</v>
      </c>
      <c r="L75" s="67">
        <f>IF(TB_Vendas[[#This Row],[Desconto 
(Diretão)]]&lt;=TB_Vendas[[#This Row],[Desconto 
(Vendedor)]],TB_Vendas[[#This Row],[Desconto 
(Diretão)]],TB_Vendas[[#This Row],[Desconto 
(Vendedor)]])</f>
        <v>0.15</v>
      </c>
      <c r="M75" s="8">
        <f>TB_Vendas[[#This Row],[Preço Unitário]]*TB_Vendas[[#This Row],[Qtd]]</f>
        <v>593.1</v>
      </c>
      <c r="N75" s="1" t="s">
        <v>130</v>
      </c>
    </row>
    <row r="76" spans="1:14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>
        <f>_xlfn.XLOOKUP(TB_Vendas[[#This Row],[Código]],TB_Produtos[Código],TB_Produtos[Categoria])</f>
        <v>Vestuário</v>
      </c>
      <c r="F76" s="1">
        <v>10</v>
      </c>
      <c r="G76" s="28">
        <f>VLOOKUP(TB_Vendas[[#This Row],[Código]],Produtos!$B$6:$G$66,6,0)</f>
        <v>92.9</v>
      </c>
      <c r="H76" s="1">
        <f>_xlfn.XMATCH(TB_Vendas[[#This Row],[Categoria]],Desc_Categorias,0)</f>
        <v>3</v>
      </c>
      <c r="I76" s="67">
        <f>VLOOKUP(TB_Vendas[[#This Row],[Qtd]],Desc_TabelaToda,TB_Vendas[[#This Row],[Indice]],TRUE)</f>
        <v>0.3</v>
      </c>
      <c r="J76" s="67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67">
        <f>_xlfn.XLOOKUP(TB_Vendas[[#This Row],[Vendedor]],Vendedores!$A$5:$A$9,Vendedores!$D$5:$D$9)</f>
        <v>0.15</v>
      </c>
      <c r="L76" s="67">
        <f>IF(TB_Vendas[[#This Row],[Desconto 
(Diretão)]]&lt;=TB_Vendas[[#This Row],[Desconto 
(Vendedor)]],TB_Vendas[[#This Row],[Desconto 
(Diretão)]],TB_Vendas[[#This Row],[Desconto 
(Vendedor)]])</f>
        <v>0.15</v>
      </c>
      <c r="M76" s="8">
        <f>TB_Vendas[[#This Row],[Preço Unitário]]*TB_Vendas[[#This Row],[Qtd]]</f>
        <v>929</v>
      </c>
      <c r="N76" s="1" t="s">
        <v>130</v>
      </c>
    </row>
    <row r="77" spans="1:14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>
        <f>_xlfn.XLOOKUP(TB_Vendas[[#This Row],[Código]],TB_Produtos[Código],TB_Produtos[Categoria])</f>
        <v>Calçado</v>
      </c>
      <c r="F77" s="1">
        <v>1</v>
      </c>
      <c r="G77" s="28">
        <f>VLOOKUP(TB_Vendas[[#This Row],[Código]],Produtos!$B$6:$G$66,6,0)</f>
        <v>89.9</v>
      </c>
      <c r="H77" s="1">
        <f>_xlfn.XMATCH(TB_Vendas[[#This Row],[Categoria]],Desc_Categorias,0)</f>
        <v>4</v>
      </c>
      <c r="I77" s="67">
        <f>VLOOKUP(TB_Vendas[[#This Row],[Qtd]],Desc_TabelaToda,TB_Vendas[[#This Row],[Indice]],TRUE)</f>
        <v>0</v>
      </c>
      <c r="J77" s="67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67">
        <f>_xlfn.XLOOKUP(TB_Vendas[[#This Row],[Vendedor]],Vendedores!$A$5:$A$9,Vendedores!$D$5:$D$9)</f>
        <v>0.1</v>
      </c>
      <c r="L77" s="67">
        <f>IF(TB_Vendas[[#This Row],[Desconto 
(Diretão)]]&lt;=TB_Vendas[[#This Row],[Desconto 
(Vendedor)]],TB_Vendas[[#This Row],[Desconto 
(Diretão)]],TB_Vendas[[#This Row],[Desconto 
(Vendedor)]])</f>
        <v>0</v>
      </c>
      <c r="M77" s="8">
        <f>TB_Vendas[[#This Row],[Preço Unitário]]*TB_Vendas[[#This Row],[Qtd]]</f>
        <v>89.9</v>
      </c>
      <c r="N77" s="1" t="s">
        <v>128</v>
      </c>
    </row>
    <row r="78" spans="1:14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>
        <f>_xlfn.XLOOKUP(TB_Vendas[[#This Row],[Código]],TB_Produtos[Código],TB_Produtos[Categoria])</f>
        <v>Vestuário</v>
      </c>
      <c r="F78" s="1">
        <v>2</v>
      </c>
      <c r="G78" s="28">
        <f>VLOOKUP(TB_Vendas[[#This Row],[Código]],Produtos!$B$6:$G$66,6,0)</f>
        <v>49.9</v>
      </c>
      <c r="H78" s="1">
        <f>_xlfn.XMATCH(TB_Vendas[[#This Row],[Categoria]],Desc_Categorias,0)</f>
        <v>3</v>
      </c>
      <c r="I78" s="67">
        <f>VLOOKUP(TB_Vendas[[#This Row],[Qtd]],Desc_TabelaToda,TB_Vendas[[#This Row],[Indice]],TRUE)</f>
        <v>0.15</v>
      </c>
      <c r="J78" s="67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67">
        <f>_xlfn.XLOOKUP(TB_Vendas[[#This Row],[Vendedor]],Vendedores!$A$5:$A$9,Vendedores!$D$5:$D$9)</f>
        <v>0.1</v>
      </c>
      <c r="L78" s="67">
        <f>IF(TB_Vendas[[#This Row],[Desconto 
(Diretão)]]&lt;=TB_Vendas[[#This Row],[Desconto 
(Vendedor)]],TB_Vendas[[#This Row],[Desconto 
(Diretão)]],TB_Vendas[[#This Row],[Desconto 
(Vendedor)]])</f>
        <v>0.1</v>
      </c>
      <c r="M78" s="8">
        <f>TB_Vendas[[#This Row],[Preço Unitário]]*TB_Vendas[[#This Row],[Qtd]]</f>
        <v>99.8</v>
      </c>
      <c r="N78" s="1" t="s">
        <v>128</v>
      </c>
    </row>
    <row r="79" spans="1:14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>
        <f>_xlfn.XLOOKUP(TB_Vendas[[#This Row],[Código]],TB_Produtos[Código],TB_Produtos[Categoria])</f>
        <v>Vestuário</v>
      </c>
      <c r="F79" s="1">
        <v>8</v>
      </c>
      <c r="G79" s="28">
        <f>VLOOKUP(TB_Vendas[[#This Row],[Código]],Produtos!$B$6:$G$66,6,0)</f>
        <v>70</v>
      </c>
      <c r="H79" s="1">
        <f>_xlfn.XMATCH(TB_Vendas[[#This Row],[Categoria]],Desc_Categorias,0)</f>
        <v>3</v>
      </c>
      <c r="I79" s="67">
        <f>VLOOKUP(TB_Vendas[[#This Row],[Qtd]],Desc_TabelaToda,TB_Vendas[[#This Row],[Indice]],TRUE)</f>
        <v>0.25</v>
      </c>
      <c r="J79" s="67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67">
        <f>_xlfn.XLOOKUP(TB_Vendas[[#This Row],[Vendedor]],Vendedores!$A$5:$A$9,Vendedores!$D$5:$D$9)</f>
        <v>0.15</v>
      </c>
      <c r="L79" s="67">
        <f>IF(TB_Vendas[[#This Row],[Desconto 
(Diretão)]]&lt;=TB_Vendas[[#This Row],[Desconto 
(Vendedor)]],TB_Vendas[[#This Row],[Desconto 
(Diretão)]],TB_Vendas[[#This Row],[Desconto 
(Vendedor)]])</f>
        <v>0.15</v>
      </c>
      <c r="M79" s="8">
        <f>TB_Vendas[[#This Row],[Preço Unitário]]*TB_Vendas[[#This Row],[Qtd]]</f>
        <v>560</v>
      </c>
      <c r="N79" s="1" t="s">
        <v>127</v>
      </c>
    </row>
    <row r="80" spans="1:14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>
        <f>_xlfn.XLOOKUP(TB_Vendas[[#This Row],[Código]],TB_Produtos[Código],TB_Produtos[Categoria])</f>
        <v>Vestuário</v>
      </c>
      <c r="F80" s="1">
        <v>5</v>
      </c>
      <c r="G80" s="28">
        <f>VLOOKUP(TB_Vendas[[#This Row],[Código]],Produtos!$B$6:$G$66,6,0)</f>
        <v>46.9</v>
      </c>
      <c r="H80" s="1">
        <f>_xlfn.XMATCH(TB_Vendas[[#This Row],[Categoria]],Desc_Categorias,0)</f>
        <v>3</v>
      </c>
      <c r="I80" s="67">
        <f>VLOOKUP(TB_Vendas[[#This Row],[Qtd]],Desc_TabelaToda,TB_Vendas[[#This Row],[Indice]],TRUE)</f>
        <v>0.25</v>
      </c>
      <c r="J80" s="67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67">
        <f>_xlfn.XLOOKUP(TB_Vendas[[#This Row],[Vendedor]],Vendedores!$A$5:$A$9,Vendedores!$D$5:$D$9)</f>
        <v>0.1</v>
      </c>
      <c r="L80" s="67">
        <f>IF(TB_Vendas[[#This Row],[Desconto 
(Diretão)]]&lt;=TB_Vendas[[#This Row],[Desconto 
(Vendedor)]],TB_Vendas[[#This Row],[Desconto 
(Diretão)]],TB_Vendas[[#This Row],[Desconto 
(Vendedor)]])</f>
        <v>0.1</v>
      </c>
      <c r="M80" s="8">
        <f>TB_Vendas[[#This Row],[Preço Unitário]]*TB_Vendas[[#This Row],[Qtd]]</f>
        <v>234.5</v>
      </c>
      <c r="N80" s="1" t="s">
        <v>128</v>
      </c>
    </row>
    <row r="81" spans="1:14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>
        <f>_xlfn.XLOOKUP(TB_Vendas[[#This Row],[Código]],TB_Produtos[Código],TB_Produtos[Categoria])</f>
        <v>Vestuário</v>
      </c>
      <c r="F81" s="1">
        <v>10</v>
      </c>
      <c r="G81" s="28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67">
        <f>VLOOKUP(TB_Vendas[[#This Row],[Qtd]],Desc_TabelaToda,TB_Vendas[[#This Row],[Indice]],TRUE)</f>
        <v>0.3</v>
      </c>
      <c r="J81" s="67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67">
        <f>_xlfn.XLOOKUP(TB_Vendas[[#This Row],[Vendedor]],Vendedores!$A$5:$A$9,Vendedores!$D$5:$D$9)</f>
        <v>0.15</v>
      </c>
      <c r="L81" s="67">
        <f>IF(TB_Vendas[[#This Row],[Desconto 
(Diretão)]]&lt;=TB_Vendas[[#This Row],[Desconto 
(Vendedor)]],TB_Vendas[[#This Row],[Desconto 
(Diretão)]],TB_Vendas[[#This Row],[Desconto 
(Vendedor)]])</f>
        <v>0.15</v>
      </c>
      <c r="M81" s="8">
        <f>TB_Vendas[[#This Row],[Preço Unitário]]*TB_Vendas[[#This Row],[Qtd]]</f>
        <v>2899</v>
      </c>
      <c r="N81" s="1" t="s">
        <v>127</v>
      </c>
    </row>
    <row r="82" spans="1:14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>
        <f>_xlfn.XLOOKUP(TB_Vendas[[#This Row],[Código]],TB_Produtos[Código],TB_Produtos[Categoria])</f>
        <v>Vestuário</v>
      </c>
      <c r="F82" s="1">
        <v>1</v>
      </c>
      <c r="G82" s="28">
        <f>VLOOKUP(TB_Vendas[[#This Row],[Código]],Produtos!$B$6:$G$66,6,0)</f>
        <v>42.5</v>
      </c>
      <c r="H82" s="1">
        <f>_xlfn.XMATCH(TB_Vendas[[#This Row],[Categoria]],Desc_Categorias,0)</f>
        <v>3</v>
      </c>
      <c r="I82" s="67">
        <f>VLOOKUP(TB_Vendas[[#This Row],[Qtd]],Desc_TabelaToda,TB_Vendas[[#This Row],[Indice]],TRUE)</f>
        <v>0.1</v>
      </c>
      <c r="J82" s="67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67">
        <f>_xlfn.XLOOKUP(TB_Vendas[[#This Row],[Vendedor]],Vendedores!$A$5:$A$9,Vendedores!$D$5:$D$9)</f>
        <v>0.1</v>
      </c>
      <c r="L82" s="67">
        <f>IF(TB_Vendas[[#This Row],[Desconto 
(Diretão)]]&lt;=TB_Vendas[[#This Row],[Desconto 
(Vendedor)]],TB_Vendas[[#This Row],[Desconto 
(Diretão)]],TB_Vendas[[#This Row],[Desconto 
(Vendedor)]])</f>
        <v>0.1</v>
      </c>
      <c r="M82" s="8">
        <f>TB_Vendas[[#This Row],[Preço Unitário]]*TB_Vendas[[#This Row],[Qtd]]</f>
        <v>42.5</v>
      </c>
      <c r="N82" s="1" t="s">
        <v>128</v>
      </c>
    </row>
    <row r="83" spans="1:14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>
        <f>_xlfn.XLOOKUP(TB_Vendas[[#This Row],[Código]],TB_Produtos[Código],TB_Produtos[Categoria])</f>
        <v>Calçado</v>
      </c>
      <c r="F83" s="1">
        <v>2</v>
      </c>
      <c r="G83" s="28">
        <f>VLOOKUP(TB_Vendas[[#This Row],[Código]],Produtos!$B$6:$G$66,6,0)</f>
        <v>89.9</v>
      </c>
      <c r="H83" s="1">
        <f>_xlfn.XMATCH(TB_Vendas[[#This Row],[Categoria]],Desc_Categorias,0)</f>
        <v>4</v>
      </c>
      <c r="I83" s="67">
        <f>VLOOKUP(TB_Vendas[[#This Row],[Qtd]],Desc_TabelaToda,TB_Vendas[[#This Row],[Indice]],TRUE)</f>
        <v>0.1</v>
      </c>
      <c r="J83" s="67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67">
        <f>_xlfn.XLOOKUP(TB_Vendas[[#This Row],[Vendedor]],Vendedores!$A$5:$A$9,Vendedores!$D$5:$D$9)</f>
        <v>0.15</v>
      </c>
      <c r="L83" s="67">
        <f>IF(TB_Vendas[[#This Row],[Desconto 
(Diretão)]]&lt;=TB_Vendas[[#This Row],[Desconto 
(Vendedor)]],TB_Vendas[[#This Row],[Desconto 
(Diretão)]],TB_Vendas[[#This Row],[Desconto 
(Vendedor)]])</f>
        <v>0.1</v>
      </c>
      <c r="M83" s="8">
        <f>TB_Vendas[[#This Row],[Preço Unitário]]*TB_Vendas[[#This Row],[Qtd]]</f>
        <v>179.8</v>
      </c>
      <c r="N83" s="1" t="s">
        <v>127</v>
      </c>
    </row>
    <row r="84" spans="1:14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>
        <f>_xlfn.XLOOKUP(TB_Vendas[[#This Row],[Código]],TB_Produtos[Código],TB_Produtos[Categoria])</f>
        <v>Calçado</v>
      </c>
      <c r="F84" s="1">
        <v>3</v>
      </c>
      <c r="G84" s="28">
        <f>VLOOKUP(TB_Vendas[[#This Row],[Código]],Produtos!$B$6:$G$66,6,0)</f>
        <v>255</v>
      </c>
      <c r="H84" s="1">
        <f>_xlfn.XMATCH(TB_Vendas[[#This Row],[Categoria]],Desc_Categorias,0)</f>
        <v>4</v>
      </c>
      <c r="I84" s="67">
        <f>VLOOKUP(TB_Vendas[[#This Row],[Qtd]],Desc_TabelaToda,TB_Vendas[[#This Row],[Indice]],TRUE)</f>
        <v>0.15</v>
      </c>
      <c r="J84" s="67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67">
        <f>_xlfn.XLOOKUP(TB_Vendas[[#This Row],[Vendedor]],Vendedores!$A$5:$A$9,Vendedores!$D$5:$D$9)</f>
        <v>0.2</v>
      </c>
      <c r="L84" s="67">
        <f>IF(TB_Vendas[[#This Row],[Desconto 
(Diretão)]]&lt;=TB_Vendas[[#This Row],[Desconto 
(Vendedor)]],TB_Vendas[[#This Row],[Desconto 
(Diretão)]],TB_Vendas[[#This Row],[Desconto 
(Vendedor)]])</f>
        <v>0.15</v>
      </c>
      <c r="M84" s="8">
        <f>TB_Vendas[[#This Row],[Preço Unitário]]*TB_Vendas[[#This Row],[Qtd]]</f>
        <v>765</v>
      </c>
      <c r="N84" s="1" t="s">
        <v>126</v>
      </c>
    </row>
    <row r="85" spans="1:14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>
        <f>_xlfn.XLOOKUP(TB_Vendas[[#This Row],[Código]],TB_Produtos[Código],TB_Produtos[Categoria])</f>
        <v>Vestuário</v>
      </c>
      <c r="F85" s="1">
        <v>6</v>
      </c>
      <c r="G85" s="28">
        <f>VLOOKUP(TB_Vendas[[#This Row],[Código]],Produtos!$B$6:$G$66,6,0)</f>
        <v>42.5</v>
      </c>
      <c r="H85" s="1">
        <f>_xlfn.XMATCH(TB_Vendas[[#This Row],[Categoria]],Desc_Categorias,0)</f>
        <v>3</v>
      </c>
      <c r="I85" s="67">
        <f>VLOOKUP(TB_Vendas[[#This Row],[Qtd]],Desc_TabelaToda,TB_Vendas[[#This Row],[Indice]],TRUE)</f>
        <v>0.25</v>
      </c>
      <c r="J85" s="67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67">
        <f>_xlfn.XLOOKUP(TB_Vendas[[#This Row],[Vendedor]],Vendedores!$A$5:$A$9,Vendedores!$D$5:$D$9)</f>
        <v>0.2</v>
      </c>
      <c r="L85" s="67">
        <f>IF(TB_Vendas[[#This Row],[Desconto 
(Diretão)]]&lt;=TB_Vendas[[#This Row],[Desconto 
(Vendedor)]],TB_Vendas[[#This Row],[Desconto 
(Diretão)]],TB_Vendas[[#This Row],[Desconto 
(Vendedor)]])</f>
        <v>0.2</v>
      </c>
      <c r="M85" s="8">
        <f>TB_Vendas[[#This Row],[Preço Unitário]]*TB_Vendas[[#This Row],[Qtd]]</f>
        <v>255</v>
      </c>
      <c r="N85" s="1" t="s">
        <v>129</v>
      </c>
    </row>
    <row r="86" spans="1:14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>
        <f>_xlfn.XLOOKUP(TB_Vendas[[#This Row],[Código]],TB_Produtos[Código],TB_Produtos[Categoria])</f>
        <v>Vestuário</v>
      </c>
      <c r="F86" s="1">
        <v>8</v>
      </c>
      <c r="G86" s="28">
        <f>VLOOKUP(TB_Vendas[[#This Row],[Código]],Produtos!$B$6:$G$66,6,0)</f>
        <v>39.9</v>
      </c>
      <c r="H86" s="1">
        <f>_xlfn.XMATCH(TB_Vendas[[#This Row],[Categoria]],Desc_Categorias,0)</f>
        <v>3</v>
      </c>
      <c r="I86" s="67">
        <f>VLOOKUP(TB_Vendas[[#This Row],[Qtd]],Desc_TabelaToda,TB_Vendas[[#This Row],[Indice]],TRUE)</f>
        <v>0.25</v>
      </c>
      <c r="J86" s="67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67">
        <f>_xlfn.XLOOKUP(TB_Vendas[[#This Row],[Vendedor]],Vendedores!$A$5:$A$9,Vendedores!$D$5:$D$9)</f>
        <v>0.15</v>
      </c>
      <c r="L86" s="67">
        <f>IF(TB_Vendas[[#This Row],[Desconto 
(Diretão)]]&lt;=TB_Vendas[[#This Row],[Desconto 
(Vendedor)]],TB_Vendas[[#This Row],[Desconto 
(Diretão)]],TB_Vendas[[#This Row],[Desconto 
(Vendedor)]])</f>
        <v>0.15</v>
      </c>
      <c r="M86" s="8">
        <f>TB_Vendas[[#This Row],[Preço Unitário]]*TB_Vendas[[#This Row],[Qtd]]</f>
        <v>319.2</v>
      </c>
      <c r="N86" s="1" t="s">
        <v>127</v>
      </c>
    </row>
  </sheetData>
  <phoneticPr fontId="12" type="noConversion"/>
  <conditionalFormatting sqref="F4:L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selection sqref="A1:XFD1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37" customFormat="1" ht="40.15" customHeight="1">
      <c r="A1" s="40"/>
      <c r="B1" s="44" t="s">
        <v>144</v>
      </c>
      <c r="C1" s="42"/>
      <c r="D1" s="42"/>
      <c r="E1" s="42"/>
      <c r="F1" s="42"/>
      <c r="G1" s="42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23.25" customHeight="1">
      <c r="A4" s="39"/>
      <c r="B4" s="103" t="s">
        <v>153</v>
      </c>
      <c r="C4" s="103"/>
      <c r="D4" s="39"/>
      <c r="E4" s="103" t="s">
        <v>160</v>
      </c>
      <c r="F4" s="103"/>
    </row>
    <row r="5" spans="1:9" ht="5.25" customHeight="1" thickBot="1"/>
    <row r="6" spans="1:9" ht="24.6" customHeight="1" thickBot="1">
      <c r="B6" s="69" t="s">
        <v>154</v>
      </c>
      <c r="C6" s="68" t="s">
        <v>115</v>
      </c>
      <c r="E6" s="69" t="s">
        <v>159</v>
      </c>
      <c r="F6" s="73">
        <v>44949</v>
      </c>
    </row>
    <row r="7" spans="1:9" ht="24.6" customHeight="1" thickTop="1" thickBot="1">
      <c r="B7" s="69" t="s">
        <v>155</v>
      </c>
      <c r="C7" s="47" t="str">
        <f>IFERROR(VLOOKUP(C6,TB_Produtos[#All],2,FALSE),"")</f>
        <v>Sandália Rasteira</v>
      </c>
      <c r="E7" s="69" t="s">
        <v>162</v>
      </c>
      <c r="F7" s="47" t="str">
        <f>_xlfn.XLOOKUP(WEEKDAY(F6),'Cadastros Auxiliares'!$B$4:$I$4,'Cadastros Auxiliares'!$B$5:$I$5,"")</f>
        <v>Segunda-feira</v>
      </c>
      <c r="G7" s="46"/>
    </row>
    <row r="8" spans="1:9" ht="24.6" customHeight="1" thickTop="1" thickBot="1">
      <c r="B8" s="70" t="s">
        <v>156</v>
      </c>
      <c r="C8" s="45" cm="1">
        <f t="array" ref="C8">_xlfn.XLOOKUP(C6,TB_Produtos[[#All],[Código]],TB_Produtos[[#All],[Tamanho]],"")</f>
        <v>35</v>
      </c>
      <c r="E8" s="70" t="s">
        <v>163</v>
      </c>
      <c r="F8" s="74">
        <f>SUMIF(TB_Vendas[[#All],[Data]],Consultas!$F$6,TB_Vendas[[#All],[Total]])</f>
        <v>146</v>
      </c>
      <c r="G8" s="46"/>
    </row>
    <row r="9" spans="1:9" ht="24.6" customHeight="1" thickTop="1" thickBot="1">
      <c r="B9" s="71" t="s">
        <v>157</v>
      </c>
      <c r="C9" s="45" t="str">
        <f>IFERROR(VLOOKUP($C$6,Produtos!$B$6:$G$66,4,0),"")</f>
        <v>Calçado</v>
      </c>
      <c r="E9" s="72" t="s">
        <v>161</v>
      </c>
      <c r="F9" s="48">
        <f>SUMIF(TB_Vendas[[#All],[Data]],Consultas!$F$6,TB_Vendas[[#All],[Qtd]])</f>
        <v>1</v>
      </c>
      <c r="G9" s="46"/>
    </row>
    <row r="10" spans="1:9" ht="24.6" customHeight="1" thickTop="1" thickBot="1">
      <c r="B10" s="71" t="s">
        <v>164</v>
      </c>
      <c r="C10" s="74">
        <f>_xlfn.XLOOKUP($C$6,Produtos!$B$6:$B$66,Produtos!$G$6:$G$66,"")</f>
        <v>89.9</v>
      </c>
      <c r="G10" s="46"/>
    </row>
    <row r="11" spans="1:9" ht="24.6" customHeight="1" thickTop="1" thickBot="1">
      <c r="B11" s="70" t="s">
        <v>158</v>
      </c>
      <c r="C11" s="45" cm="1">
        <f t="array" ref="C11">_xlfn.XLOOKUP($C$6,TB_Produtos[[#All],[Código]],TB_Produtos[[#All],[Estoque]],"")</f>
        <v>48</v>
      </c>
      <c r="G11" s="46"/>
    </row>
    <row r="12" spans="1:9" ht="23.25" thickTop="1" thickBot="1">
      <c r="B12" s="71" t="s">
        <v>165</v>
      </c>
      <c r="C12" s="45" t="str" cm="1">
        <f t="array" ref="C12">_xlfn.IFS(C11=0,"Estoque Zerado",C11&gt;=C13,"Estoque OK",1,"Rever Estoque")</f>
        <v>Estoque OK</v>
      </c>
      <c r="E12" s="75"/>
    </row>
    <row r="13" spans="1:9" ht="24.75" thickTop="1" thickBot="1">
      <c r="B13" s="72" t="s">
        <v>167</v>
      </c>
      <c r="C13" s="80">
        <f>_xlfn.XLOOKUP(C9,'Cadastros Auxiliares'!G9:G11,'Cadastros Auxiliares'!H9:H11)</f>
        <v>15</v>
      </c>
      <c r="E13" s="76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37" customFormat="1" ht="40.15" customHeight="1">
      <c r="B1" s="60" t="s">
        <v>135</v>
      </c>
      <c r="C1" s="44"/>
      <c r="D1" s="44"/>
      <c r="E1" s="44"/>
      <c r="F1" s="44"/>
      <c r="G1" s="44"/>
      <c r="H1" s="44"/>
      <c r="I1" s="42"/>
      <c r="J1" s="42"/>
    </row>
    <row r="2" spans="2:10" s="38" customFormat="1" ht="4.5" customHeight="1">
      <c r="B2" s="41"/>
      <c r="C2" s="41"/>
      <c r="D2" s="41"/>
      <c r="E2" s="41"/>
      <c r="F2" s="41"/>
      <c r="G2" s="41"/>
    </row>
    <row r="3" spans="2:10" ht="4.5" customHeight="1" thickBot="1">
      <c r="B3" s="39"/>
      <c r="C3" s="39"/>
      <c r="D3" s="39"/>
      <c r="E3" s="39"/>
      <c r="F3" s="39"/>
      <c r="G3" s="39"/>
    </row>
    <row r="4" spans="2:10" ht="22.5" thickBot="1">
      <c r="B4" s="34" t="s">
        <v>30</v>
      </c>
      <c r="C4" s="35">
        <v>1</v>
      </c>
      <c r="D4" s="36">
        <v>2</v>
      </c>
      <c r="E4" s="35">
        <v>3</v>
      </c>
      <c r="F4" s="36">
        <v>4</v>
      </c>
      <c r="G4" s="35">
        <v>5</v>
      </c>
      <c r="H4" s="36">
        <v>6</v>
      </c>
      <c r="I4" s="35">
        <v>7</v>
      </c>
    </row>
    <row r="5" spans="2:10" s="53" customFormat="1" ht="22.5" thickBot="1">
      <c r="B5" s="51" t="s">
        <v>136</v>
      </c>
      <c r="C5" s="52" t="s">
        <v>137</v>
      </c>
      <c r="D5" s="52" t="s">
        <v>138</v>
      </c>
      <c r="E5" s="52" t="s">
        <v>139</v>
      </c>
      <c r="F5" s="52" t="s">
        <v>140</v>
      </c>
      <c r="G5" s="52" t="s">
        <v>141</v>
      </c>
      <c r="H5" s="52" t="s">
        <v>142</v>
      </c>
      <c r="I5" s="52" t="s">
        <v>143</v>
      </c>
    </row>
    <row r="7" spans="2:10" ht="15.75" thickBot="1"/>
    <row r="8" spans="2:10" ht="44.25" thickBot="1">
      <c r="B8" s="57" t="s">
        <v>152</v>
      </c>
      <c r="C8" s="58" t="s">
        <v>13</v>
      </c>
      <c r="D8" s="58" t="s">
        <v>12</v>
      </c>
      <c r="E8" s="58" t="s">
        <v>14</v>
      </c>
      <c r="G8" s="77" t="s">
        <v>10</v>
      </c>
      <c r="H8" s="78" t="s">
        <v>166</v>
      </c>
    </row>
    <row r="9" spans="2:10" ht="18.75" thickBot="1">
      <c r="B9" s="52">
        <v>1</v>
      </c>
      <c r="C9" s="56">
        <v>0</v>
      </c>
      <c r="D9" s="56">
        <v>0.1</v>
      </c>
      <c r="E9" s="59">
        <v>0</v>
      </c>
      <c r="G9" s="52" t="s">
        <v>13</v>
      </c>
      <c r="H9" s="79">
        <v>5</v>
      </c>
    </row>
    <row r="10" spans="2:10" ht="18.75" thickBot="1">
      <c r="B10" s="52">
        <v>2</v>
      </c>
      <c r="C10" s="56">
        <v>0.05</v>
      </c>
      <c r="D10" s="56">
        <v>0.15</v>
      </c>
      <c r="E10" s="59">
        <v>0.1</v>
      </c>
      <c r="G10" s="52" t="s">
        <v>12</v>
      </c>
      <c r="H10" s="79">
        <v>10</v>
      </c>
    </row>
    <row r="11" spans="2:10" ht="18.75" thickBot="1">
      <c r="B11" s="52">
        <v>3</v>
      </c>
      <c r="C11" s="56">
        <v>0.15</v>
      </c>
      <c r="D11" s="56">
        <v>0.2</v>
      </c>
      <c r="E11" s="59">
        <v>0.15</v>
      </c>
      <c r="G11" s="52" t="s">
        <v>14</v>
      </c>
      <c r="H11" s="79">
        <v>15</v>
      </c>
    </row>
    <row r="12" spans="2:10" ht="18.75" thickBot="1">
      <c r="B12" s="52">
        <v>5</v>
      </c>
      <c r="C12" s="56">
        <v>0.25</v>
      </c>
      <c r="D12" s="56">
        <v>0.25</v>
      </c>
      <c r="E12" s="59">
        <v>0.25</v>
      </c>
    </row>
    <row r="13" spans="2:10" ht="18.75" thickBot="1">
      <c r="B13" s="52">
        <v>10</v>
      </c>
      <c r="C13" s="56">
        <v>0.3</v>
      </c>
      <c r="D13" s="56">
        <v>0.3</v>
      </c>
      <c r="E13" s="59">
        <v>0.3</v>
      </c>
      <c r="G13" s="66"/>
    </row>
    <row r="15" spans="2:10" ht="23.25">
      <c r="B15" s="76"/>
      <c r="C15" s="76"/>
      <c r="D15" s="76"/>
      <c r="E15" s="76"/>
      <c r="F15" s="76"/>
    </row>
    <row r="16" spans="2:10" ht="23.25">
      <c r="B16" s="76"/>
      <c r="C16" s="76"/>
      <c r="D16" s="76"/>
      <c r="E16" s="76"/>
      <c r="F16" s="76"/>
    </row>
    <row r="17" spans="2:6" ht="23.25">
      <c r="B17" s="76"/>
      <c r="C17" s="76"/>
      <c r="D17" s="86"/>
      <c r="E17" s="76"/>
      <c r="F17" s="76"/>
    </row>
    <row r="18" spans="2:6" ht="23.25">
      <c r="B18" s="76"/>
      <c r="C18" s="76"/>
      <c r="D18" s="76"/>
      <c r="E18" s="76"/>
      <c r="F18" s="86"/>
    </row>
    <row r="19" spans="2:6" ht="23.25">
      <c r="B19" s="76"/>
      <c r="C19" s="76"/>
      <c r="D19" s="76"/>
      <c r="E19" s="76"/>
      <c r="F19" s="76"/>
    </row>
    <row r="20" spans="2:6" ht="23.25">
      <c r="B20" s="76"/>
      <c r="C20" s="76"/>
      <c r="D20" s="76"/>
      <c r="E20" s="76"/>
      <c r="F20" s="76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818E-C29C-49D8-9D0E-A7F1F296E734}">
  <sheetPr>
    <tabColor rgb="FFDAFF01"/>
  </sheetPr>
  <dimension ref="A1:N23"/>
  <sheetViews>
    <sheetView tabSelected="1" workbookViewId="0">
      <selection activeCell="D3" sqref="D3:D10"/>
    </sheetView>
  </sheetViews>
  <sheetFormatPr defaultRowHeight="15"/>
  <cols>
    <col min="2" max="2" width="22.140625" customWidth="1"/>
    <col min="3" max="3" width="15.85546875" customWidth="1"/>
    <col min="4" max="4" width="19.140625" customWidth="1"/>
    <col min="6" max="6" width="17.28515625" customWidth="1"/>
    <col min="7" max="14" width="12" customWidth="1"/>
  </cols>
  <sheetData>
    <row r="1" spans="1:14" s="37" customFormat="1" ht="40.15" customHeight="1" thickBot="1">
      <c r="B1" s="40" t="s">
        <v>173</v>
      </c>
      <c r="C1" s="40"/>
      <c r="D1" s="44"/>
      <c r="E1" s="42"/>
      <c r="F1" s="42"/>
      <c r="G1" s="42"/>
      <c r="H1" s="42"/>
      <c r="I1" s="42"/>
      <c r="J1" s="42"/>
      <c r="K1" s="42"/>
    </row>
    <row r="2" spans="1:14" ht="21.75" customHeight="1">
      <c r="B2" s="87" t="s">
        <v>0</v>
      </c>
      <c r="C2" s="89" t="s">
        <v>77</v>
      </c>
      <c r="D2" s="88" t="s">
        <v>11</v>
      </c>
      <c r="F2" s="104" t="s">
        <v>176</v>
      </c>
      <c r="G2" s="104"/>
      <c r="H2" s="104"/>
      <c r="I2" s="104"/>
      <c r="J2" s="104"/>
      <c r="K2" s="104"/>
      <c r="L2" s="104"/>
      <c r="M2" s="104"/>
      <c r="N2" s="104"/>
    </row>
    <row r="3" spans="1:14" ht="21.75" customHeight="1">
      <c r="B3" s="92" t="s">
        <v>5</v>
      </c>
      <c r="C3" s="93">
        <v>48</v>
      </c>
      <c r="D3" s="94">
        <v>65.900000000000006</v>
      </c>
      <c r="F3" s="91">
        <f>_xlfn.XLOOKUP(20,C2:C10,D2:D10,"",-1)</f>
        <v>259.89999999999998</v>
      </c>
      <c r="G3" s="91"/>
      <c r="H3" s="91"/>
      <c r="I3" s="91"/>
      <c r="J3" s="91"/>
      <c r="K3" s="91"/>
      <c r="L3" s="91"/>
      <c r="M3" s="91"/>
      <c r="N3" s="91"/>
    </row>
    <row r="4" spans="1:14" ht="21.75" customHeight="1">
      <c r="B4" s="92" t="s">
        <v>5</v>
      </c>
      <c r="C4" s="93">
        <v>17</v>
      </c>
      <c r="D4" s="94">
        <v>63.9</v>
      </c>
    </row>
    <row r="5" spans="1:14" ht="21.75" customHeight="1">
      <c r="B5" s="92" t="s">
        <v>5</v>
      </c>
      <c r="C5" s="93">
        <v>37</v>
      </c>
      <c r="D5" s="94">
        <v>70.900000000000006</v>
      </c>
      <c r="F5" s="104" t="s">
        <v>174</v>
      </c>
      <c r="G5" s="104"/>
      <c r="H5" s="104"/>
      <c r="I5" s="104"/>
      <c r="J5" s="104"/>
      <c r="K5" s="104"/>
      <c r="L5" s="104"/>
      <c r="M5" s="104"/>
      <c r="N5" s="104"/>
    </row>
    <row r="6" spans="1:14" ht="21.75" customHeight="1">
      <c r="B6" s="92" t="s">
        <v>29</v>
      </c>
      <c r="C6" s="93">
        <v>36</v>
      </c>
      <c r="D6" s="94">
        <v>145</v>
      </c>
      <c r="F6" s="91" t="str">
        <f>_xlfn.XLOOKUP(35,C2:C10,B2:B10,"",-1,1)</f>
        <v>Calça jeans</v>
      </c>
      <c r="G6" s="91"/>
      <c r="H6" s="91"/>
      <c r="I6" s="91"/>
      <c r="J6" s="91"/>
      <c r="K6" s="91"/>
      <c r="L6" s="91"/>
      <c r="M6" s="91"/>
      <c r="N6" s="91"/>
    </row>
    <row r="7" spans="1:14" ht="21.75" customHeight="1">
      <c r="B7" s="92" t="s">
        <v>28</v>
      </c>
      <c r="C7" s="93">
        <v>19</v>
      </c>
      <c r="D7" s="94">
        <v>259.89999999999998</v>
      </c>
    </row>
    <row r="8" spans="1:14" ht="21.75" customHeight="1">
      <c r="B8" s="92" t="s">
        <v>6</v>
      </c>
      <c r="C8" s="93">
        <v>23</v>
      </c>
      <c r="D8" s="94">
        <v>39.9</v>
      </c>
      <c r="F8" s="104" t="s">
        <v>175</v>
      </c>
      <c r="G8" s="104"/>
      <c r="H8" s="104"/>
      <c r="I8" s="104"/>
      <c r="J8" s="104"/>
      <c r="K8" s="104"/>
      <c r="L8" s="104"/>
      <c r="M8" s="104"/>
      <c r="N8" s="104"/>
    </row>
    <row r="9" spans="1:14" ht="21.75" customHeight="1">
      <c r="B9" s="92" t="s">
        <v>23</v>
      </c>
      <c r="C9" s="93">
        <v>24</v>
      </c>
      <c r="D9" s="94">
        <v>85.9</v>
      </c>
      <c r="F9" s="91" t="str">
        <f>IF(_xlfn.XLOOKUP(65.9,D2:D10,B2:B10,"",0)="Bermuda","Sim","Não")</f>
        <v>Sim</v>
      </c>
      <c r="G9" s="91"/>
      <c r="H9" s="91"/>
      <c r="I9" s="91"/>
      <c r="J9" s="91"/>
      <c r="K9" s="91"/>
      <c r="L9" s="91"/>
      <c r="M9" s="91"/>
      <c r="N9" s="91"/>
    </row>
    <row r="10" spans="1:14" ht="21.75" customHeight="1" thickBot="1">
      <c r="B10" s="95" t="s">
        <v>23</v>
      </c>
      <c r="C10" s="96">
        <v>34</v>
      </c>
      <c r="D10" s="97">
        <v>89.9</v>
      </c>
    </row>
    <row r="11" spans="1:14" ht="21.75" customHeight="1">
      <c r="F11" s="104" t="s">
        <v>177</v>
      </c>
      <c r="G11" s="104"/>
      <c r="H11" s="104"/>
      <c r="I11" s="104"/>
      <c r="J11" s="104"/>
      <c r="K11" s="104"/>
      <c r="L11" s="104"/>
      <c r="M11" s="104"/>
      <c r="N11" s="104"/>
    </row>
    <row r="12" spans="1:14" ht="21.75" customHeight="1">
      <c r="F12" s="98" t="str">
        <f>_xlfn.XLOOKUP(MAX(D2:D10),D3:D10,B3:B10)</f>
        <v>Bolsa de couro</v>
      </c>
      <c r="G12" s="91"/>
      <c r="H12" s="91"/>
      <c r="I12" s="91"/>
      <c r="J12" s="91"/>
      <c r="K12" s="91"/>
      <c r="L12" s="91"/>
      <c r="M12" s="91"/>
      <c r="N12" s="91"/>
    </row>
    <row r="13" spans="1:14" s="99" customFormat="1" ht="21.75" customHeight="1"/>
    <row r="14" spans="1:14" ht="18">
      <c r="A14" s="99"/>
      <c r="B14" s="99"/>
      <c r="C14" s="99"/>
      <c r="D14" s="99"/>
      <c r="E14" s="99"/>
      <c r="F14" s="100"/>
      <c r="G14" s="100"/>
      <c r="H14" s="100"/>
      <c r="I14" s="100"/>
      <c r="J14" s="100"/>
      <c r="K14" s="100"/>
      <c r="L14" s="100"/>
      <c r="M14" s="100"/>
      <c r="N14" s="100"/>
    </row>
    <row r="15" spans="1:14">
      <c r="A15" s="99"/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</row>
    <row r="16" spans="1:14">
      <c r="A16" s="99"/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</row>
    <row r="17" spans="1:14" ht="18">
      <c r="A17" s="99"/>
      <c r="B17" s="99"/>
      <c r="C17" s="99"/>
      <c r="D17" s="99"/>
      <c r="E17" s="99"/>
      <c r="F17" s="100"/>
      <c r="G17" s="100"/>
      <c r="H17" s="100"/>
      <c r="I17" s="100"/>
      <c r="J17" s="100"/>
      <c r="K17" s="100"/>
      <c r="L17" s="100"/>
      <c r="M17" s="100"/>
      <c r="N17" s="100"/>
    </row>
    <row r="18" spans="1:14">
      <c r="A18" s="99"/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</row>
    <row r="19" spans="1:14">
      <c r="A19" s="99"/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</row>
    <row r="20" spans="1:14" ht="18">
      <c r="A20" s="99"/>
      <c r="B20" s="99"/>
      <c r="C20" s="99"/>
      <c r="D20" s="99"/>
      <c r="E20" s="99"/>
      <c r="F20" s="100"/>
      <c r="G20" s="100"/>
      <c r="H20" s="100"/>
      <c r="I20" s="100"/>
      <c r="J20" s="100"/>
      <c r="K20" s="100"/>
      <c r="L20" s="100"/>
      <c r="M20" s="100"/>
      <c r="N20" s="100"/>
    </row>
    <row r="23" spans="1:14" ht="18">
      <c r="F23" s="90"/>
      <c r="G23" s="90"/>
      <c r="H23" s="90"/>
      <c r="I23" s="90"/>
      <c r="J23" s="90"/>
      <c r="K23" s="90"/>
      <c r="L23" s="90"/>
      <c r="M23" s="90"/>
      <c r="N23" s="90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3" customFormat="1">
      <c r="A1" s="14" t="s">
        <v>84</v>
      </c>
      <c r="B1" s="15" t="s">
        <v>85</v>
      </c>
      <c r="D1" s="14" t="s">
        <v>87</v>
      </c>
      <c r="E1" s="18" t="s">
        <v>86</v>
      </c>
      <c r="F1" s="18" t="s">
        <v>16</v>
      </c>
      <c r="G1" s="15" t="s">
        <v>15</v>
      </c>
      <c r="I1" s="21" t="s">
        <v>10</v>
      </c>
      <c r="J1" s="23" t="s">
        <v>95</v>
      </c>
      <c r="K1" s="23" t="s">
        <v>94</v>
      </c>
      <c r="L1" s="22" t="s">
        <v>16</v>
      </c>
    </row>
    <row r="2" spans="1:12">
      <c r="A2" s="3" t="s">
        <v>13</v>
      </c>
      <c r="B2" s="16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19">
        <f>SUMIF(TB_Vendas[Nº],D2,TB_Vendas[Qtd])</f>
        <v>14</v>
      </c>
      <c r="I2" s="3" t="s">
        <v>72</v>
      </c>
      <c r="J2" s="26" t="e">
        <f>L2/SUM($L$2:$L$4)</f>
        <v>#DIV/0!</v>
      </c>
      <c r="K2" s="24" t="e">
        <f>100%-J2</f>
        <v>#DIV/0!</v>
      </c>
      <c r="L2" s="16">
        <f>SUMIF(TB_Vendas[Vendedor],I2,TB_Vendas[Total])</f>
        <v>0</v>
      </c>
    </row>
    <row r="3" spans="1:12">
      <c r="A3" s="3" t="s">
        <v>71</v>
      </c>
      <c r="B3" s="16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19">
        <f>SUMIF(TB_Vendas[Nº],D3,TB_Vendas[Qtd])</f>
        <v>15</v>
      </c>
      <c r="I3" s="3" t="s">
        <v>73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SUMIF(TB_Vendas[Vendedor],I3,TB_Vendas[Total])</f>
        <v>0</v>
      </c>
    </row>
    <row r="4" spans="1:12" ht="15.75" thickBot="1">
      <c r="A4" s="4" t="s">
        <v>12</v>
      </c>
      <c r="B4" s="17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19">
        <f>SUMIF(TB_Vendas[Nº],D4,TB_Vendas[Qtd])</f>
        <v>26</v>
      </c>
      <c r="I4" s="4" t="s">
        <v>75</v>
      </c>
      <c r="J4" s="27" t="e">
        <f>L4/SUM($L$2:$L$4)</f>
        <v>#DIV/0!</v>
      </c>
      <c r="K4" s="25" t="e">
        <f t="shared" si="1"/>
        <v>#DIV/0!</v>
      </c>
      <c r="L4" s="17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19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19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3477.7000000000007</v>
      </c>
      <c r="G7" s="20">
        <f>SUMIF(TB_Vendas[Nº],D7,TB_Vendas[Qtd])</f>
        <v>41</v>
      </c>
    </row>
    <row r="11" spans="1:12">
      <c r="I11" s="29"/>
      <c r="J11" s="29"/>
      <c r="K11" s="29"/>
      <c r="L11" s="29"/>
    </row>
    <row r="12" spans="1:12">
      <c r="J12" s="30"/>
      <c r="K12" s="31"/>
      <c r="L12" s="8"/>
    </row>
    <row r="13" spans="1:12">
      <c r="J13" s="30"/>
      <c r="K13" s="31"/>
      <c r="L13" s="8"/>
    </row>
    <row r="14" spans="1:12">
      <c r="J14" s="30"/>
      <c r="K14" s="31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1"/>
  </cols>
  <sheetData>
    <row r="1" spans="3:80" ht="9.75" customHeight="1" thickBot="1"/>
    <row r="2" spans="3:80" ht="9.75" customHeight="1">
      <c r="W2" s="105" t="s">
        <v>78</v>
      </c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7"/>
      <c r="AQ2" s="105" t="s">
        <v>79</v>
      </c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7"/>
      <c r="BK2" s="105" t="s">
        <v>80</v>
      </c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07"/>
    </row>
    <row r="3" spans="3:80" ht="9.75" customHeight="1" thickBot="1">
      <c r="W3" s="108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10"/>
      <c r="AQ3" s="108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10"/>
      <c r="BK3" s="108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10"/>
    </row>
    <row r="4" spans="3:80" ht="9.75" customHeight="1">
      <c r="W4" s="120">
        <f>COUNTA(TB_Produtos[Código])</f>
        <v>60</v>
      </c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2"/>
      <c r="AQ4" s="120">
        <f>SUM(TB_Vendas[Qtd])</f>
        <v>250</v>
      </c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2"/>
      <c r="BK4" s="129">
        <f>SUM(TB_Vendas[Total])</f>
        <v>33304.799999999988</v>
      </c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1"/>
    </row>
    <row r="5" spans="3:80" ht="9.75" customHeight="1">
      <c r="W5" s="123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5"/>
      <c r="AQ5" s="123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5"/>
      <c r="BK5" s="132"/>
      <c r="BL5" s="133"/>
      <c r="BM5" s="133"/>
      <c r="BN5" s="133"/>
      <c r="BO5" s="133"/>
      <c r="BP5" s="133"/>
      <c r="BQ5" s="133"/>
      <c r="BR5" s="133"/>
      <c r="BS5" s="133"/>
      <c r="BT5" s="133"/>
      <c r="BU5" s="133"/>
      <c r="BV5" s="133"/>
      <c r="BW5" s="133"/>
      <c r="BX5" s="133"/>
      <c r="BY5" s="133"/>
      <c r="BZ5" s="133"/>
      <c r="CA5" s="133"/>
      <c r="CB5" s="134"/>
    </row>
    <row r="6" spans="3:80" ht="9.75" customHeight="1">
      <c r="W6" s="123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5"/>
      <c r="AQ6" s="123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5"/>
      <c r="BK6" s="132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4"/>
    </row>
    <row r="7" spans="3:80" ht="9.75" customHeight="1" thickBot="1">
      <c r="W7" s="126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8"/>
      <c r="AQ7" s="126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8"/>
      <c r="BK7" s="135"/>
      <c r="BL7" s="136"/>
      <c r="BM7" s="136"/>
      <c r="BN7" s="136"/>
      <c r="BO7" s="136"/>
      <c r="BP7" s="136"/>
      <c r="BQ7" s="136"/>
      <c r="BR7" s="136"/>
      <c r="BS7" s="136"/>
      <c r="BT7" s="136"/>
      <c r="BU7" s="136"/>
      <c r="BV7" s="136"/>
      <c r="BW7" s="136"/>
      <c r="BX7" s="136"/>
      <c r="BY7" s="136"/>
      <c r="BZ7" s="136"/>
      <c r="CA7" s="136"/>
      <c r="CB7" s="137"/>
    </row>
    <row r="8" spans="3:80" ht="9.75" customHeight="1" thickBot="1"/>
    <row r="9" spans="3:80" ht="9.75" customHeight="1">
      <c r="C9" s="105" t="s">
        <v>81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7"/>
    </row>
    <row r="10" spans="3:80" ht="9.75" customHeight="1" thickBot="1">
      <c r="C10" s="108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09"/>
      <c r="BG10" s="109"/>
      <c r="BH10" s="109"/>
      <c r="BI10" s="109"/>
      <c r="BJ10" s="109"/>
      <c r="BK10" s="109"/>
      <c r="BL10" s="109"/>
      <c r="BM10" s="109"/>
      <c r="BN10" s="109"/>
      <c r="BO10" s="109"/>
      <c r="BP10" s="109"/>
      <c r="BQ10" s="109"/>
      <c r="BR10" s="109"/>
      <c r="BS10" s="109"/>
      <c r="BT10" s="109"/>
      <c r="BU10" s="109"/>
      <c r="BV10" s="109"/>
      <c r="BW10" s="109"/>
      <c r="BX10" s="109"/>
      <c r="BY10" s="109"/>
      <c r="BZ10" s="109"/>
      <c r="CA10" s="109"/>
      <c r="CB10" s="110"/>
    </row>
    <row r="11" spans="3:80" ht="9.75" customHeight="1">
      <c r="C11" s="111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3"/>
    </row>
    <row r="12" spans="3:80" ht="9.75" customHeight="1">
      <c r="C12" s="114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15"/>
      <c r="AN12" s="115"/>
      <c r="AO12" s="115"/>
      <c r="AP12" s="115"/>
      <c r="AQ12" s="115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5"/>
      <c r="CA12" s="115"/>
      <c r="CB12" s="116"/>
    </row>
    <row r="13" spans="3:80" ht="9.75" customHeight="1">
      <c r="C13" s="114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  <c r="BT13" s="115"/>
      <c r="BU13" s="115"/>
      <c r="BV13" s="115"/>
      <c r="BW13" s="115"/>
      <c r="BX13" s="115"/>
      <c r="BY13" s="115"/>
      <c r="BZ13" s="115"/>
      <c r="CA13" s="115"/>
      <c r="CB13" s="116"/>
    </row>
    <row r="14" spans="3:80" ht="9.75" customHeight="1">
      <c r="C14" s="114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  <c r="AQ14" s="115"/>
      <c r="AR14" s="115"/>
      <c r="AS14" s="115"/>
      <c r="AT14" s="115"/>
      <c r="AU14" s="115"/>
      <c r="AV14" s="115"/>
      <c r="AW14" s="115"/>
      <c r="AX14" s="115"/>
      <c r="AY14" s="115"/>
      <c r="AZ14" s="115"/>
      <c r="BA14" s="115"/>
      <c r="BB14" s="115"/>
      <c r="BC14" s="115"/>
      <c r="BD14" s="115"/>
      <c r="BE14" s="115"/>
      <c r="BF14" s="115"/>
      <c r="BG14" s="115"/>
      <c r="BH14" s="115"/>
      <c r="BI14" s="115"/>
      <c r="BJ14" s="115"/>
      <c r="BK14" s="115"/>
      <c r="BL14" s="115"/>
      <c r="BM14" s="115"/>
      <c r="BN14" s="115"/>
      <c r="BO14" s="115"/>
      <c r="BP14" s="115"/>
      <c r="BQ14" s="115"/>
      <c r="BR14" s="115"/>
      <c r="BS14" s="115"/>
      <c r="BT14" s="115"/>
      <c r="BU14" s="115"/>
      <c r="BV14" s="115"/>
      <c r="BW14" s="115"/>
      <c r="BX14" s="115"/>
      <c r="BY14" s="115"/>
      <c r="BZ14" s="115"/>
      <c r="CA14" s="115"/>
      <c r="CB14" s="116"/>
    </row>
    <row r="15" spans="3:80" ht="9.75" customHeight="1">
      <c r="C15" s="114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6"/>
    </row>
    <row r="16" spans="3:80" ht="9.75" customHeight="1">
      <c r="C16" s="114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6"/>
    </row>
    <row r="17" spans="3:80" ht="9.75" customHeight="1">
      <c r="C17" s="114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6"/>
    </row>
    <row r="18" spans="3:80" ht="9.75" customHeight="1">
      <c r="C18" s="114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6"/>
    </row>
    <row r="19" spans="3:80" ht="9.75" customHeight="1">
      <c r="C19" s="114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6"/>
    </row>
    <row r="20" spans="3:80" ht="9.75" customHeight="1">
      <c r="C20" s="114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6"/>
    </row>
    <row r="21" spans="3:80" ht="9.75" customHeight="1">
      <c r="C21" s="114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6"/>
    </row>
    <row r="22" spans="3:80" ht="9.75" customHeight="1">
      <c r="C22" s="114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6"/>
    </row>
    <row r="23" spans="3:80" ht="9.75" customHeight="1">
      <c r="C23" s="114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6"/>
    </row>
    <row r="24" spans="3:80" ht="9.75" customHeight="1" thickBot="1">
      <c r="C24" s="117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8"/>
      <c r="BQ24" s="118"/>
      <c r="BR24" s="118"/>
      <c r="BS24" s="118"/>
      <c r="BT24" s="118"/>
      <c r="BU24" s="118"/>
      <c r="BV24" s="118"/>
      <c r="BW24" s="118"/>
      <c r="BX24" s="118"/>
      <c r="BY24" s="118"/>
      <c r="BZ24" s="118"/>
      <c r="CA24" s="118"/>
      <c r="CB24" s="119"/>
    </row>
    <row r="25" spans="3:80" ht="9.75" customHeight="1" thickBot="1"/>
    <row r="26" spans="3:80" ht="9.75" customHeight="1">
      <c r="C26" s="105" t="s">
        <v>82</v>
      </c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7"/>
      <c r="AO26" s="12"/>
      <c r="AP26" s="12"/>
      <c r="AQ26" s="105" t="s">
        <v>83</v>
      </c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7"/>
    </row>
    <row r="27" spans="3:80" ht="9.75" customHeight="1" thickBot="1">
      <c r="C27" s="108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10"/>
      <c r="AO27" s="12"/>
      <c r="AP27" s="12"/>
      <c r="AQ27" s="108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09"/>
      <c r="BY27" s="109"/>
      <c r="BZ27" s="109"/>
      <c r="CA27" s="109"/>
      <c r="CB27" s="110"/>
    </row>
    <row r="28" spans="3:80" ht="9.75" customHeight="1">
      <c r="C28" s="111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3"/>
      <c r="AQ28" s="111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3"/>
    </row>
    <row r="29" spans="3:80" ht="9.75" customHeight="1">
      <c r="C29" s="114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6"/>
      <c r="AQ29" s="114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15"/>
      <c r="BY29" s="115"/>
      <c r="BZ29" s="115"/>
      <c r="CA29" s="115"/>
      <c r="CB29" s="116"/>
    </row>
    <row r="30" spans="3:80" ht="9.75" customHeight="1">
      <c r="C30" s="114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6"/>
      <c r="AQ30" s="114"/>
      <c r="AR30" s="115"/>
      <c r="AS30" s="115"/>
      <c r="AT30" s="115"/>
      <c r="AU30" s="115"/>
      <c r="AV30" s="115"/>
      <c r="AW30" s="115"/>
      <c r="AX30" s="115"/>
      <c r="AY30" s="115"/>
      <c r="AZ30" s="115"/>
      <c r="BA30" s="115"/>
      <c r="BB30" s="115"/>
      <c r="BC30" s="115"/>
      <c r="BD30" s="115"/>
      <c r="BE30" s="115"/>
      <c r="BF30" s="115"/>
      <c r="BG30" s="115"/>
      <c r="BH30" s="115"/>
      <c r="BI30" s="115"/>
      <c r="BJ30" s="115"/>
      <c r="BK30" s="115"/>
      <c r="BL30" s="115"/>
      <c r="BM30" s="115"/>
      <c r="BN30" s="115"/>
      <c r="BO30" s="115"/>
      <c r="BP30" s="115"/>
      <c r="BQ30" s="115"/>
      <c r="BR30" s="115"/>
      <c r="BS30" s="115"/>
      <c r="BT30" s="115"/>
      <c r="BU30" s="115"/>
      <c r="BV30" s="115"/>
      <c r="BW30" s="115"/>
      <c r="BX30" s="115"/>
      <c r="BY30" s="115"/>
      <c r="BZ30" s="115"/>
      <c r="CA30" s="115"/>
      <c r="CB30" s="116"/>
    </row>
    <row r="31" spans="3:80" ht="9.75" customHeight="1">
      <c r="C31" s="114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6"/>
      <c r="AQ31" s="114"/>
      <c r="AR31" s="115"/>
      <c r="AS31" s="115"/>
      <c r="AT31" s="115"/>
      <c r="AU31" s="115"/>
      <c r="AV31" s="115"/>
      <c r="AW31" s="115"/>
      <c r="AX31" s="115"/>
      <c r="AY31" s="115"/>
      <c r="AZ31" s="115"/>
      <c r="BA31" s="115"/>
      <c r="BB31" s="115"/>
      <c r="BC31" s="115"/>
      <c r="BD31" s="115"/>
      <c r="BE31" s="115"/>
      <c r="BF31" s="115"/>
      <c r="BG31" s="115"/>
      <c r="BH31" s="115"/>
      <c r="BI31" s="115"/>
      <c r="BJ31" s="115"/>
      <c r="BK31" s="115"/>
      <c r="BL31" s="115"/>
      <c r="BM31" s="115"/>
      <c r="BN31" s="115"/>
      <c r="BO31" s="115"/>
      <c r="BP31" s="115"/>
      <c r="BQ31" s="115"/>
      <c r="BR31" s="115"/>
      <c r="BS31" s="115"/>
      <c r="BT31" s="115"/>
      <c r="BU31" s="115"/>
      <c r="BV31" s="115"/>
      <c r="BW31" s="115"/>
      <c r="BX31" s="115"/>
      <c r="BY31" s="115"/>
      <c r="BZ31" s="115"/>
      <c r="CA31" s="115"/>
      <c r="CB31" s="116"/>
    </row>
    <row r="32" spans="3:80" ht="9.75" customHeight="1">
      <c r="C32" s="114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6"/>
      <c r="AQ32" s="114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5"/>
      <c r="BC32" s="115"/>
      <c r="BD32" s="115"/>
      <c r="BE32" s="115"/>
      <c r="BF32" s="115"/>
      <c r="BG32" s="115"/>
      <c r="BH32" s="115"/>
      <c r="BI32" s="115"/>
      <c r="BJ32" s="115"/>
      <c r="BK32" s="115"/>
      <c r="BL32" s="115"/>
      <c r="BM32" s="115"/>
      <c r="BN32" s="115"/>
      <c r="BO32" s="115"/>
      <c r="BP32" s="115"/>
      <c r="BQ32" s="115"/>
      <c r="BR32" s="115"/>
      <c r="BS32" s="115"/>
      <c r="BT32" s="115"/>
      <c r="BU32" s="115"/>
      <c r="BV32" s="115"/>
      <c r="BW32" s="115"/>
      <c r="BX32" s="115"/>
      <c r="BY32" s="115"/>
      <c r="BZ32" s="115"/>
      <c r="CA32" s="115"/>
      <c r="CB32" s="116"/>
    </row>
    <row r="33" spans="3:80" ht="9.75" customHeight="1">
      <c r="C33" s="114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6"/>
      <c r="AQ33" s="114"/>
      <c r="AR33" s="115"/>
      <c r="AS33" s="115"/>
      <c r="AT33" s="115"/>
      <c r="AU33" s="115"/>
      <c r="AV33" s="115"/>
      <c r="AW33" s="115"/>
      <c r="AX33" s="115"/>
      <c r="AY33" s="115"/>
      <c r="AZ33" s="115"/>
      <c r="BA33" s="115"/>
      <c r="BB33" s="115"/>
      <c r="BC33" s="115"/>
      <c r="BD33" s="115"/>
      <c r="BE33" s="115"/>
      <c r="BF33" s="115"/>
      <c r="BG33" s="115"/>
      <c r="BH33" s="115"/>
      <c r="BI33" s="115"/>
      <c r="BJ33" s="115"/>
      <c r="BK33" s="115"/>
      <c r="BL33" s="115"/>
      <c r="BM33" s="115"/>
      <c r="BN33" s="115"/>
      <c r="BO33" s="115"/>
      <c r="BP33" s="115"/>
      <c r="BQ33" s="115"/>
      <c r="BR33" s="115"/>
      <c r="BS33" s="115"/>
      <c r="BT33" s="115"/>
      <c r="BU33" s="115"/>
      <c r="BV33" s="115"/>
      <c r="BW33" s="115"/>
      <c r="BX33" s="115"/>
      <c r="BY33" s="115"/>
      <c r="BZ33" s="115"/>
      <c r="CA33" s="115"/>
      <c r="CB33" s="116"/>
    </row>
    <row r="34" spans="3:80" ht="9.75" customHeight="1">
      <c r="C34" s="114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6"/>
      <c r="AQ34" s="114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5"/>
      <c r="BC34" s="115"/>
      <c r="BD34" s="115"/>
      <c r="BE34" s="115"/>
      <c r="BF34" s="115"/>
      <c r="BG34" s="115"/>
      <c r="BH34" s="115"/>
      <c r="BI34" s="115"/>
      <c r="BJ34" s="115"/>
      <c r="BK34" s="115"/>
      <c r="BL34" s="115"/>
      <c r="BM34" s="115"/>
      <c r="BN34" s="115"/>
      <c r="BO34" s="115"/>
      <c r="BP34" s="115"/>
      <c r="BQ34" s="115"/>
      <c r="BR34" s="115"/>
      <c r="BS34" s="115"/>
      <c r="BT34" s="115"/>
      <c r="BU34" s="115"/>
      <c r="BV34" s="115"/>
      <c r="BW34" s="115"/>
      <c r="BX34" s="115"/>
      <c r="BY34" s="115"/>
      <c r="BZ34" s="115"/>
      <c r="CA34" s="115"/>
      <c r="CB34" s="116"/>
    </row>
    <row r="35" spans="3:80" ht="9.75" customHeight="1">
      <c r="C35" s="114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6"/>
      <c r="AQ35" s="114"/>
      <c r="AR35" s="115"/>
      <c r="AS35" s="115"/>
      <c r="AT35" s="115"/>
      <c r="AU35" s="115"/>
      <c r="AV35" s="115"/>
      <c r="AW35" s="115"/>
      <c r="AX35" s="115"/>
      <c r="AY35" s="115"/>
      <c r="AZ35" s="115"/>
      <c r="BA35" s="115"/>
      <c r="BB35" s="115"/>
      <c r="BC35" s="115"/>
      <c r="BD35" s="115"/>
      <c r="BE35" s="115"/>
      <c r="BF35" s="115"/>
      <c r="BG35" s="115"/>
      <c r="BH35" s="115"/>
      <c r="BI35" s="115"/>
      <c r="BJ35" s="115"/>
      <c r="BK35" s="115"/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115"/>
      <c r="CA35" s="115"/>
      <c r="CB35" s="116"/>
    </row>
    <row r="36" spans="3:80" ht="9.75" customHeight="1">
      <c r="C36" s="114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6"/>
      <c r="AQ36" s="114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  <c r="BF36" s="115"/>
      <c r="BG36" s="115"/>
      <c r="BH36" s="115"/>
      <c r="BI36" s="115"/>
      <c r="BJ36" s="115"/>
      <c r="BK36" s="115"/>
      <c r="BL36" s="115"/>
      <c r="BM36" s="115"/>
      <c r="BN36" s="115"/>
      <c r="BO36" s="115"/>
      <c r="BP36" s="115"/>
      <c r="BQ36" s="115"/>
      <c r="BR36" s="115"/>
      <c r="BS36" s="115"/>
      <c r="BT36" s="115"/>
      <c r="BU36" s="115"/>
      <c r="BV36" s="115"/>
      <c r="BW36" s="115"/>
      <c r="BX36" s="115"/>
      <c r="BY36" s="115"/>
      <c r="BZ36" s="115"/>
      <c r="CA36" s="115"/>
      <c r="CB36" s="116"/>
    </row>
    <row r="37" spans="3:80" ht="9.75" customHeight="1">
      <c r="C37" s="114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6"/>
      <c r="AQ37" s="114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115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6"/>
    </row>
    <row r="38" spans="3:80" ht="9.75" customHeight="1">
      <c r="C38" s="114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6"/>
      <c r="AQ38" s="114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115"/>
      <c r="BC38" s="115"/>
      <c r="BD38" s="115"/>
      <c r="BE38" s="115"/>
      <c r="BF38" s="115"/>
      <c r="BG38" s="115"/>
      <c r="BH38" s="115"/>
      <c r="BI38" s="115"/>
      <c r="BJ38" s="115"/>
      <c r="BK38" s="115"/>
      <c r="BL38" s="115"/>
      <c r="BM38" s="115"/>
      <c r="BN38" s="115"/>
      <c r="BO38" s="115"/>
      <c r="BP38" s="115"/>
      <c r="BQ38" s="115"/>
      <c r="BR38" s="115"/>
      <c r="BS38" s="115"/>
      <c r="BT38" s="115"/>
      <c r="BU38" s="115"/>
      <c r="BV38" s="115"/>
      <c r="BW38" s="115"/>
      <c r="BX38" s="115"/>
      <c r="BY38" s="115"/>
      <c r="BZ38" s="115"/>
      <c r="CA38" s="115"/>
      <c r="CB38" s="116"/>
    </row>
    <row r="39" spans="3:80" ht="9.75" customHeight="1">
      <c r="C39" s="114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6"/>
      <c r="AQ39" s="114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5"/>
      <c r="BE39" s="115"/>
      <c r="BF39" s="115"/>
      <c r="BG39" s="115"/>
      <c r="BH39" s="115"/>
      <c r="BI39" s="115"/>
      <c r="BJ39" s="115"/>
      <c r="BK39" s="115"/>
      <c r="BL39" s="115"/>
      <c r="BM39" s="115"/>
      <c r="BN39" s="115"/>
      <c r="BO39" s="115"/>
      <c r="BP39" s="115"/>
      <c r="BQ39" s="115"/>
      <c r="BR39" s="115"/>
      <c r="BS39" s="115"/>
      <c r="BT39" s="115"/>
      <c r="BU39" s="115"/>
      <c r="BV39" s="115"/>
      <c r="BW39" s="115"/>
      <c r="BX39" s="115"/>
      <c r="BY39" s="115"/>
      <c r="BZ39" s="115"/>
      <c r="CA39" s="115"/>
      <c r="CB39" s="116"/>
    </row>
    <row r="40" spans="3:80" ht="9.75" customHeight="1">
      <c r="C40" s="114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6"/>
      <c r="AQ40" s="114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  <c r="BF40" s="115"/>
      <c r="BG40" s="115"/>
      <c r="BH40" s="115"/>
      <c r="BI40" s="115"/>
      <c r="BJ40" s="115"/>
      <c r="BK40" s="115"/>
      <c r="BL40" s="115"/>
      <c r="BM40" s="115"/>
      <c r="BN40" s="115"/>
      <c r="BO40" s="115"/>
      <c r="BP40" s="115"/>
      <c r="BQ40" s="115"/>
      <c r="BR40" s="115"/>
      <c r="BS40" s="115"/>
      <c r="BT40" s="115"/>
      <c r="BU40" s="115"/>
      <c r="BV40" s="115"/>
      <c r="BW40" s="115"/>
      <c r="BX40" s="115"/>
      <c r="BY40" s="115"/>
      <c r="BZ40" s="115"/>
      <c r="CA40" s="115"/>
      <c r="CB40" s="116"/>
    </row>
    <row r="41" spans="3:80" ht="9.75" customHeight="1">
      <c r="C41" s="114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6"/>
      <c r="AQ41" s="114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5"/>
      <c r="BD41" s="115"/>
      <c r="BE41" s="115"/>
      <c r="BF41" s="115"/>
      <c r="BG41" s="115"/>
      <c r="BH41" s="115"/>
      <c r="BI41" s="115"/>
      <c r="BJ41" s="115"/>
      <c r="BK41" s="115"/>
      <c r="BL41" s="115"/>
      <c r="BM41" s="115"/>
      <c r="BN41" s="115"/>
      <c r="BO41" s="115"/>
      <c r="BP41" s="115"/>
      <c r="BQ41" s="115"/>
      <c r="BR41" s="115"/>
      <c r="BS41" s="115"/>
      <c r="BT41" s="115"/>
      <c r="BU41" s="115"/>
      <c r="BV41" s="115"/>
      <c r="BW41" s="115"/>
      <c r="BX41" s="115"/>
      <c r="BY41" s="115"/>
      <c r="BZ41" s="115"/>
      <c r="CA41" s="115"/>
      <c r="CB41" s="116"/>
    </row>
    <row r="42" spans="3:80" ht="9.75" customHeight="1">
      <c r="C42" s="114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6"/>
      <c r="AQ42" s="114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5"/>
      <c r="BC42" s="115"/>
      <c r="BD42" s="115"/>
      <c r="BE42" s="115"/>
      <c r="BF42" s="115"/>
      <c r="BG42" s="115"/>
      <c r="BH42" s="115"/>
      <c r="BI42" s="115"/>
      <c r="BJ42" s="115"/>
      <c r="BK42" s="115"/>
      <c r="BL42" s="115"/>
      <c r="BM42" s="115"/>
      <c r="BN42" s="115"/>
      <c r="BO42" s="115"/>
      <c r="BP42" s="115"/>
      <c r="BQ42" s="115"/>
      <c r="BR42" s="115"/>
      <c r="BS42" s="115"/>
      <c r="BT42" s="115"/>
      <c r="BU42" s="115"/>
      <c r="BV42" s="115"/>
      <c r="BW42" s="115"/>
      <c r="BX42" s="115"/>
      <c r="BY42" s="115"/>
      <c r="BZ42" s="115"/>
      <c r="CA42" s="115"/>
      <c r="CB42" s="116"/>
    </row>
    <row r="43" spans="3:80" ht="9.75" customHeight="1">
      <c r="C43" s="114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6"/>
      <c r="AQ43" s="114"/>
      <c r="AR43" s="115"/>
      <c r="AS43" s="115"/>
      <c r="AT43" s="115"/>
      <c r="AU43" s="115"/>
      <c r="AV43" s="115"/>
      <c r="AW43" s="115"/>
      <c r="AX43" s="115"/>
      <c r="AY43" s="115"/>
      <c r="AZ43" s="115"/>
      <c r="BA43" s="115"/>
      <c r="BB43" s="115"/>
      <c r="BC43" s="115"/>
      <c r="BD43" s="115"/>
      <c r="BE43" s="115"/>
      <c r="BF43" s="115"/>
      <c r="BG43" s="115"/>
      <c r="BH43" s="115"/>
      <c r="BI43" s="115"/>
      <c r="BJ43" s="115"/>
      <c r="BK43" s="115"/>
      <c r="BL43" s="115"/>
      <c r="BM43" s="115"/>
      <c r="BN43" s="115"/>
      <c r="BO43" s="115"/>
      <c r="BP43" s="115"/>
      <c r="BQ43" s="115"/>
      <c r="BR43" s="115"/>
      <c r="BS43" s="115"/>
      <c r="BT43" s="115"/>
      <c r="BU43" s="115"/>
      <c r="BV43" s="115"/>
      <c r="BW43" s="115"/>
      <c r="BX43" s="115"/>
      <c r="BY43" s="115"/>
      <c r="BZ43" s="115"/>
      <c r="CA43" s="115"/>
      <c r="CB43" s="116"/>
    </row>
    <row r="44" spans="3:80" ht="9.75" customHeight="1">
      <c r="C44" s="114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6"/>
      <c r="AQ44" s="114"/>
      <c r="AR44" s="115"/>
      <c r="AS44" s="115"/>
      <c r="AT44" s="115"/>
      <c r="AU44" s="115"/>
      <c r="AV44" s="115"/>
      <c r="AW44" s="115"/>
      <c r="AX44" s="115"/>
      <c r="AY44" s="115"/>
      <c r="AZ44" s="115"/>
      <c r="BA44" s="115"/>
      <c r="BB44" s="115"/>
      <c r="BC44" s="115"/>
      <c r="BD44" s="115"/>
      <c r="BE44" s="115"/>
      <c r="BF44" s="115"/>
      <c r="BG44" s="115"/>
      <c r="BH44" s="115"/>
      <c r="BI44" s="115"/>
      <c r="BJ44" s="115"/>
      <c r="BK44" s="115"/>
      <c r="BL44" s="115"/>
      <c r="BM44" s="115"/>
      <c r="BN44" s="115"/>
      <c r="BO44" s="115"/>
      <c r="BP44" s="115"/>
      <c r="BQ44" s="115"/>
      <c r="BR44" s="115"/>
      <c r="BS44" s="115"/>
      <c r="BT44" s="115"/>
      <c r="BU44" s="115"/>
      <c r="BV44" s="115"/>
      <c r="BW44" s="115"/>
      <c r="BX44" s="115"/>
      <c r="BY44" s="115"/>
      <c r="BZ44" s="115"/>
      <c r="CA44" s="115"/>
      <c r="CB44" s="116"/>
    </row>
    <row r="45" spans="3:80" ht="9.75" customHeight="1">
      <c r="C45" s="114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6"/>
      <c r="AQ45" s="114"/>
      <c r="AR45" s="115"/>
      <c r="AS45" s="115"/>
      <c r="AT45" s="115"/>
      <c r="AU45" s="115"/>
      <c r="AV45" s="115"/>
      <c r="AW45" s="115"/>
      <c r="AX45" s="115"/>
      <c r="AY45" s="115"/>
      <c r="AZ45" s="115"/>
      <c r="BA45" s="115"/>
      <c r="BB45" s="115"/>
      <c r="BC45" s="115"/>
      <c r="BD45" s="115"/>
      <c r="BE45" s="115"/>
      <c r="BF45" s="115"/>
      <c r="BG45" s="115"/>
      <c r="BH45" s="115"/>
      <c r="BI45" s="115"/>
      <c r="BJ45" s="115"/>
      <c r="BK45" s="115"/>
      <c r="BL45" s="115"/>
      <c r="BM45" s="115"/>
      <c r="BN45" s="115"/>
      <c r="BO45" s="115"/>
      <c r="BP45" s="115"/>
      <c r="BQ45" s="115"/>
      <c r="BR45" s="115"/>
      <c r="BS45" s="115"/>
      <c r="BT45" s="115"/>
      <c r="BU45" s="115"/>
      <c r="BV45" s="115"/>
      <c r="BW45" s="115"/>
      <c r="BX45" s="115"/>
      <c r="BY45" s="115"/>
      <c r="BZ45" s="115"/>
      <c r="CA45" s="115"/>
      <c r="CB45" s="116"/>
    </row>
    <row r="46" spans="3:80" ht="9.75" customHeight="1" thickBot="1">
      <c r="C46" s="117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9"/>
      <c r="AQ46" s="117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8"/>
      <c r="BD46" s="118"/>
      <c r="BE46" s="118"/>
      <c r="BF46" s="118"/>
      <c r="BG46" s="118"/>
      <c r="BH46" s="118"/>
      <c r="BI46" s="118"/>
      <c r="BJ46" s="118"/>
      <c r="BK46" s="118"/>
      <c r="BL46" s="118"/>
      <c r="BM46" s="118"/>
      <c r="BN46" s="118"/>
      <c r="BO46" s="118"/>
      <c r="BP46" s="118"/>
      <c r="BQ46" s="118"/>
      <c r="BR46" s="118"/>
      <c r="BS46" s="118"/>
      <c r="BT46" s="118"/>
      <c r="BU46" s="118"/>
      <c r="BV46" s="118"/>
      <c r="BW46" s="118"/>
      <c r="BX46" s="118"/>
      <c r="BY46" s="118"/>
      <c r="BZ46" s="118"/>
      <c r="CA46" s="118"/>
      <c r="CB46" s="119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Menu</vt:lpstr>
      <vt:lpstr>Produtos</vt:lpstr>
      <vt:lpstr>Vendedores</vt:lpstr>
      <vt:lpstr>Vendas</vt:lpstr>
      <vt:lpstr>Consultas</vt:lpstr>
      <vt:lpstr>Cadastros Auxiliares</vt:lpstr>
      <vt:lpstr>Desafio 1</vt:lpstr>
      <vt:lpstr>Dados para Gráficos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joao marcos</cp:lastModifiedBy>
  <cp:lastPrinted>2023-06-07T14:57:58Z</cp:lastPrinted>
  <dcterms:created xsi:type="dcterms:W3CDTF">2023-06-02T17:54:12Z</dcterms:created>
  <dcterms:modified xsi:type="dcterms:W3CDTF">2024-05-31T21:58:49Z</dcterms:modified>
</cp:coreProperties>
</file>