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ai Saravanan\Downloads\"/>
    </mc:Choice>
  </mc:AlternateContent>
  <xr:revisionPtr revIDLastSave="0" documentId="13_ncr:1_{F8CA19AE-3431-4DD0-8101-AE951EFFBA67}" xr6:coauthVersionLast="47" xr6:coauthVersionMax="47" xr10:uidLastSave="{00000000-0000-0000-0000-000000000000}"/>
  <bookViews>
    <workbookView xWindow="-120" yWindow="-120" windowWidth="29040" windowHeight="16440" xr2:uid="{2E227198-C582-4523-9ECB-0F37267993A0}"/>
  </bookViews>
  <sheets>
    <sheet name="FSM" sheetId="1" r:id="rId1"/>
    <sheet name="DCF" sheetId="2" r:id="rId2"/>
  </sheets>
  <externalReferences>
    <externalReference r:id="rId3"/>
  </externalReferences>
  <definedNames>
    <definedName name="Circ">FSM!$L$3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6" i="2" l="1"/>
  <c r="C47" i="2" s="1"/>
  <c r="C48" i="2" s="1"/>
  <c r="C49" i="2" s="1"/>
  <c r="C50" i="2" s="1"/>
  <c r="C51" i="2" s="1"/>
  <c r="C52" i="2" s="1"/>
  <c r="C53" i="2" s="1"/>
  <c r="E44" i="2"/>
  <c r="F44" i="2" s="1"/>
  <c r="G44" i="2" s="1"/>
  <c r="H44" i="2" s="1"/>
  <c r="I44" i="2" s="1"/>
  <c r="E32" i="2"/>
  <c r="J29" i="2"/>
  <c r="J27" i="2"/>
  <c r="E25" i="2"/>
  <c r="E23" i="2"/>
  <c r="D35" i="2" s="1"/>
  <c r="E22" i="2"/>
  <c r="F15" i="2"/>
  <c r="E8" i="2"/>
  <c r="G5" i="2"/>
  <c r="G254" i="1"/>
  <c r="F254" i="1"/>
  <c r="E254" i="1"/>
  <c r="H253" i="1"/>
  <c r="I253" i="1" s="1"/>
  <c r="E251" i="1"/>
  <c r="L247" i="1"/>
  <c r="K247" i="1"/>
  <c r="J247" i="1"/>
  <c r="I247" i="1"/>
  <c r="H247" i="1"/>
  <c r="L243" i="1"/>
  <c r="K243" i="1"/>
  <c r="J243" i="1"/>
  <c r="I243" i="1"/>
  <c r="H243" i="1"/>
  <c r="L241" i="1"/>
  <c r="K241" i="1"/>
  <c r="J241" i="1"/>
  <c r="I241" i="1"/>
  <c r="H241" i="1"/>
  <c r="G235" i="1"/>
  <c r="H233" i="1"/>
  <c r="H232" i="1"/>
  <c r="G226" i="1"/>
  <c r="H224" i="1"/>
  <c r="H227" i="1" s="1"/>
  <c r="L221" i="1"/>
  <c r="K221" i="1"/>
  <c r="J221" i="1"/>
  <c r="I221" i="1"/>
  <c r="H221" i="1"/>
  <c r="H220" i="1"/>
  <c r="H206" i="1" s="1"/>
  <c r="J188" i="1"/>
  <c r="I188" i="1"/>
  <c r="G186" i="1"/>
  <c r="H183" i="1"/>
  <c r="E181" i="1"/>
  <c r="J177" i="1"/>
  <c r="K177" i="1" s="1"/>
  <c r="L177" i="1" s="1"/>
  <c r="I177" i="1"/>
  <c r="H170" i="1"/>
  <c r="G170" i="1"/>
  <c r="F170" i="1"/>
  <c r="E170" i="1"/>
  <c r="L165" i="1"/>
  <c r="H165" i="1"/>
  <c r="G163" i="1"/>
  <c r="H160" i="1" s="1"/>
  <c r="E158" i="1"/>
  <c r="G155" i="1"/>
  <c r="G154" i="1"/>
  <c r="F154" i="1"/>
  <c r="L149" i="1"/>
  <c r="H149" i="1"/>
  <c r="G149" i="1"/>
  <c r="F149" i="1"/>
  <c r="L144" i="1"/>
  <c r="H144" i="1"/>
  <c r="G144" i="1"/>
  <c r="F144" i="1"/>
  <c r="L139" i="1"/>
  <c r="H139" i="1"/>
  <c r="L134" i="1"/>
  <c r="H134" i="1"/>
  <c r="G134" i="1"/>
  <c r="F134" i="1"/>
  <c r="L129" i="1"/>
  <c r="H129" i="1"/>
  <c r="E127" i="1"/>
  <c r="I120" i="1"/>
  <c r="J120" i="1" s="1"/>
  <c r="H120" i="1"/>
  <c r="H202" i="1" s="1"/>
  <c r="J119" i="1"/>
  <c r="K119" i="1" s="1"/>
  <c r="L119" i="1" s="1"/>
  <c r="I119" i="1"/>
  <c r="G118" i="1"/>
  <c r="F118" i="1"/>
  <c r="G116" i="1"/>
  <c r="G122" i="1" s="1"/>
  <c r="H115" i="1"/>
  <c r="G115" i="1"/>
  <c r="F115" i="1"/>
  <c r="F114" i="1"/>
  <c r="G111" i="1"/>
  <c r="F111" i="1"/>
  <c r="F116" i="1" s="1"/>
  <c r="F122" i="1" s="1"/>
  <c r="H106" i="1"/>
  <c r="I106" i="1" s="1"/>
  <c r="G106" i="1"/>
  <c r="F106" i="1"/>
  <c r="G105" i="1"/>
  <c r="H175" i="1" s="1"/>
  <c r="H178" i="1" s="1"/>
  <c r="F105" i="1"/>
  <c r="G102" i="1"/>
  <c r="G107" i="1" s="1"/>
  <c r="G98" i="1"/>
  <c r="H219" i="1" s="1"/>
  <c r="F98" i="1"/>
  <c r="F102" i="1" s="1"/>
  <c r="F107" i="1" s="1"/>
  <c r="F124" i="1" s="1"/>
  <c r="E96" i="1"/>
  <c r="L90" i="1"/>
  <c r="H90" i="1"/>
  <c r="E90" i="1"/>
  <c r="E77" i="1"/>
  <c r="L71" i="1"/>
  <c r="H71" i="1"/>
  <c r="L66" i="1"/>
  <c r="H66" i="1"/>
  <c r="G66" i="1"/>
  <c r="E66" i="1"/>
  <c r="L61" i="1"/>
  <c r="H61" i="1"/>
  <c r="F59" i="1"/>
  <c r="E59" i="1"/>
  <c r="F56" i="1"/>
  <c r="G55" i="1"/>
  <c r="G56" i="1" s="1"/>
  <c r="F55" i="1"/>
  <c r="E55" i="1"/>
  <c r="E56" i="1" s="1"/>
  <c r="L50" i="1"/>
  <c r="H50" i="1"/>
  <c r="H49" i="1" s="1"/>
  <c r="G50" i="1"/>
  <c r="F50" i="1"/>
  <c r="E50" i="1"/>
  <c r="L44" i="1"/>
  <c r="H44" i="1"/>
  <c r="H43" i="1" s="1"/>
  <c r="G44" i="1"/>
  <c r="F44" i="1"/>
  <c r="E44" i="1"/>
  <c r="L38" i="1"/>
  <c r="H38" i="1"/>
  <c r="H37" i="1" s="1"/>
  <c r="G38" i="1"/>
  <c r="F38" i="1"/>
  <c r="E38" i="1"/>
  <c r="L32" i="1"/>
  <c r="H32" i="1"/>
  <c r="H31" i="1" s="1"/>
  <c r="G32" i="1"/>
  <c r="F32" i="1"/>
  <c r="E32" i="1"/>
  <c r="L26" i="1"/>
  <c r="H26" i="1"/>
  <c r="H25" i="1" s="1"/>
  <c r="G26" i="1"/>
  <c r="F26" i="1"/>
  <c r="E26" i="1"/>
  <c r="E23" i="1"/>
  <c r="I17" i="1"/>
  <c r="J17" i="1" s="1"/>
  <c r="K17" i="1" s="1"/>
  <c r="L17" i="1" s="1"/>
  <c r="G15" i="1"/>
  <c r="F15" i="1"/>
  <c r="E15" i="1"/>
  <c r="G14" i="1"/>
  <c r="G11" i="1"/>
  <c r="G61" i="1" s="1"/>
  <c r="G9" i="1"/>
  <c r="G71" i="1" s="1"/>
  <c r="F9" i="1"/>
  <c r="E9" i="1"/>
  <c r="E71" i="1" s="1"/>
  <c r="F7" i="1"/>
  <c r="F77" i="1" s="1"/>
  <c r="H4" i="1"/>
  <c r="J15" i="2" l="1"/>
  <c r="D37" i="2"/>
  <c r="E36" i="2" s="1"/>
  <c r="E35" i="2"/>
  <c r="E37" i="2" s="1"/>
  <c r="G15" i="2"/>
  <c r="H5" i="2"/>
  <c r="I5" i="2" s="1"/>
  <c r="J5" i="2" s="1"/>
  <c r="E24" i="2"/>
  <c r="E26" i="2" s="1"/>
  <c r="E39" i="2" s="1"/>
  <c r="H55" i="1"/>
  <c r="H9" i="1" s="1"/>
  <c r="H12" i="1" s="1"/>
  <c r="G124" i="1"/>
  <c r="F11" i="1"/>
  <c r="F71" i="1"/>
  <c r="F139" i="1"/>
  <c r="F129" i="1"/>
  <c r="F66" i="1"/>
  <c r="F90" i="1"/>
  <c r="F165" i="1"/>
  <c r="G18" i="1"/>
  <c r="G20" i="1" s="1"/>
  <c r="G79" i="1"/>
  <c r="G81" i="1" s="1"/>
  <c r="J106" i="1"/>
  <c r="J197" i="1" s="1"/>
  <c r="K120" i="1"/>
  <c r="J202" i="1"/>
  <c r="I255" i="1"/>
  <c r="I254" i="1" s="1"/>
  <c r="J253" i="1"/>
  <c r="H105" i="1"/>
  <c r="I175" i="1"/>
  <c r="I178" i="1" s="1"/>
  <c r="H198" i="1"/>
  <c r="I115" i="1"/>
  <c r="F127" i="1"/>
  <c r="H197" i="1"/>
  <c r="E165" i="1"/>
  <c r="I197" i="1"/>
  <c r="G213" i="1"/>
  <c r="G165" i="1"/>
  <c r="G7" i="1"/>
  <c r="G90" i="1"/>
  <c r="F96" i="1"/>
  <c r="F181" i="1"/>
  <c r="F158" i="1"/>
  <c r="K188" i="1"/>
  <c r="I202" i="1"/>
  <c r="E11" i="1"/>
  <c r="F251" i="1"/>
  <c r="F23" i="1"/>
  <c r="G129" i="1"/>
  <c r="G139" i="1"/>
  <c r="H255" i="1"/>
  <c r="H254" i="1" s="1"/>
  <c r="I15" i="2" l="1"/>
  <c r="H15" i="2"/>
  <c r="H56" i="1"/>
  <c r="J175" i="1"/>
  <c r="J178" i="1" s="1"/>
  <c r="I105" i="1"/>
  <c r="H211" i="1"/>
  <c r="J255" i="1"/>
  <c r="J254" i="1" s="1"/>
  <c r="K253" i="1"/>
  <c r="H80" i="1"/>
  <c r="H195" i="1" s="1"/>
  <c r="H118" i="1" s="1"/>
  <c r="H13" i="1"/>
  <c r="H110" i="1" s="1"/>
  <c r="H99" i="1"/>
  <c r="H161" i="1"/>
  <c r="H10" i="1"/>
  <c r="F14" i="1"/>
  <c r="F61" i="1"/>
  <c r="G59" i="1"/>
  <c r="G77" i="1"/>
  <c r="G158" i="1"/>
  <c r="G23" i="1"/>
  <c r="G251" i="1"/>
  <c r="G181" i="1"/>
  <c r="G96" i="1"/>
  <c r="H7" i="1"/>
  <c r="G127" i="1"/>
  <c r="K106" i="1"/>
  <c r="K197" i="1"/>
  <c r="L120" i="1"/>
  <c r="L202" i="1" s="1"/>
  <c r="K202" i="1"/>
  <c r="E14" i="1"/>
  <c r="E61" i="1"/>
  <c r="I198" i="1"/>
  <c r="J115" i="1"/>
  <c r="G82" i="1"/>
  <c r="G84" i="1"/>
  <c r="G258" i="1"/>
  <c r="G257" i="1"/>
  <c r="G188" i="1"/>
  <c r="L188" i="1"/>
  <c r="H101" i="1"/>
  <c r="F18" i="1" l="1"/>
  <c r="F20" i="1" s="1"/>
  <c r="F79" i="1"/>
  <c r="F81" i="1" s="1"/>
  <c r="H201" i="1"/>
  <c r="H203" i="1" s="1"/>
  <c r="H162" i="1"/>
  <c r="H194" i="1" s="1"/>
  <c r="H83" i="1" s="1"/>
  <c r="J198" i="1"/>
  <c r="K115" i="1"/>
  <c r="E18" i="1"/>
  <c r="E20" i="1" s="1"/>
  <c r="E79" i="1"/>
  <c r="E81" i="1" s="1"/>
  <c r="L106" i="1"/>
  <c r="L197" i="1"/>
  <c r="H109" i="1"/>
  <c r="H111" i="1" s="1"/>
  <c r="H100" i="1"/>
  <c r="H11" i="1"/>
  <c r="H14" i="1" s="1"/>
  <c r="K255" i="1"/>
  <c r="K254" i="1" s="1"/>
  <c r="L253" i="1"/>
  <c r="L255" i="1" s="1"/>
  <c r="L254" i="1" s="1"/>
  <c r="H77" i="1"/>
  <c r="H23" i="1"/>
  <c r="H251" i="1"/>
  <c r="H238" i="1"/>
  <c r="H96" i="1"/>
  <c r="H216" i="1"/>
  <c r="H191" i="1"/>
  <c r="H158" i="1"/>
  <c r="H181" i="1"/>
  <c r="H127" i="1"/>
  <c r="I7" i="1"/>
  <c r="H59" i="1"/>
  <c r="G85" i="1"/>
  <c r="G87" i="1"/>
  <c r="G88" i="1" s="1"/>
  <c r="K175" i="1"/>
  <c r="K178" i="1" s="1"/>
  <c r="J105" i="1"/>
  <c r="H163" i="1" l="1"/>
  <c r="I160" i="1" s="1"/>
  <c r="H154" i="1"/>
  <c r="H155" i="1" s="1"/>
  <c r="H196" i="1" s="1"/>
  <c r="I77" i="1"/>
  <c r="I251" i="1"/>
  <c r="I238" i="1"/>
  <c r="I216" i="1"/>
  <c r="I191" i="1"/>
  <c r="I158" i="1"/>
  <c r="I181" i="1"/>
  <c r="I96" i="1"/>
  <c r="J7" i="1"/>
  <c r="I127" i="1"/>
  <c r="I59" i="1"/>
  <c r="I23" i="1"/>
  <c r="E82" i="1"/>
  <c r="E84" i="1"/>
  <c r="K198" i="1"/>
  <c r="L115" i="1"/>
  <c r="L198" i="1" s="1"/>
  <c r="F82" i="1"/>
  <c r="F84" i="1"/>
  <c r="E258" i="1"/>
  <c r="E257" i="1"/>
  <c r="E188" i="1"/>
  <c r="L175" i="1"/>
  <c r="L178" i="1" s="1"/>
  <c r="L105" i="1" s="1"/>
  <c r="K105" i="1"/>
  <c r="H79" i="1"/>
  <c r="H81" i="1" s="1"/>
  <c r="F258" i="1"/>
  <c r="F257" i="1"/>
  <c r="F188" i="1"/>
  <c r="H104" i="1" l="1"/>
  <c r="E85" i="1"/>
  <c r="E87" i="1"/>
  <c r="E88" i="1" s="1"/>
  <c r="F85" i="1"/>
  <c r="F87" i="1"/>
  <c r="F88" i="1" s="1"/>
  <c r="H82" i="1"/>
  <c r="H84" i="1"/>
  <c r="J77" i="1"/>
  <c r="J23" i="1"/>
  <c r="J251" i="1"/>
  <c r="J238" i="1"/>
  <c r="J216" i="1"/>
  <c r="J191" i="1"/>
  <c r="J158" i="1"/>
  <c r="J181" i="1"/>
  <c r="J96" i="1"/>
  <c r="K7" i="1"/>
  <c r="J59" i="1"/>
  <c r="J127" i="1"/>
  <c r="F7" i="2"/>
  <c r="F12" i="2"/>
  <c r="F10" i="2"/>
  <c r="F8" i="2" l="1"/>
  <c r="F9" i="2" s="1"/>
  <c r="H85" i="1"/>
  <c r="H87" i="1"/>
  <c r="H88" i="1" s="1"/>
  <c r="K77" i="1"/>
  <c r="K23" i="1"/>
  <c r="K251" i="1"/>
  <c r="K238" i="1"/>
  <c r="K216" i="1"/>
  <c r="K191" i="1"/>
  <c r="K158" i="1"/>
  <c r="K181" i="1"/>
  <c r="K96" i="1"/>
  <c r="L7" i="1"/>
  <c r="K127" i="1"/>
  <c r="K59" i="1"/>
  <c r="F11" i="2" l="1"/>
  <c r="F13" i="2" s="1"/>
  <c r="F16" i="2" s="1"/>
  <c r="L77" i="1"/>
  <c r="L251" i="1"/>
  <c r="L238" i="1"/>
  <c r="L216" i="1"/>
  <c r="L191" i="1"/>
  <c r="L158" i="1"/>
  <c r="L181" i="1"/>
  <c r="L96" i="1"/>
  <c r="L127" i="1"/>
  <c r="L59" i="1"/>
  <c r="L23" i="1"/>
  <c r="G7" i="2" l="1"/>
  <c r="H7" i="2"/>
  <c r="I7" i="2"/>
  <c r="J7" i="2"/>
  <c r="G8" i="2"/>
  <c r="H8" i="2"/>
  <c r="I8" i="2"/>
  <c r="J8" i="2"/>
  <c r="G9" i="2"/>
  <c r="H9" i="2"/>
  <c r="I9" i="2"/>
  <c r="J9" i="2"/>
  <c r="G10" i="2"/>
  <c r="H10" i="2"/>
  <c r="I10" i="2"/>
  <c r="J10" i="2"/>
  <c r="G11" i="2"/>
  <c r="H11" i="2"/>
  <c r="I11" i="2"/>
  <c r="J11" i="2"/>
  <c r="G12" i="2"/>
  <c r="H12" i="2"/>
  <c r="I12" i="2"/>
  <c r="J12" i="2"/>
  <c r="G13" i="2"/>
  <c r="H13" i="2"/>
  <c r="I13" i="2"/>
  <c r="J13" i="2"/>
  <c r="G14" i="2"/>
  <c r="H14" i="2"/>
  <c r="I14" i="2"/>
  <c r="J14" i="2"/>
  <c r="G16" i="2"/>
  <c r="H16" i="2"/>
  <c r="I16" i="2"/>
  <c r="J16" i="2"/>
  <c r="J21" i="2"/>
  <c r="J23" i="2"/>
  <c r="J24" i="2"/>
  <c r="J25" i="2"/>
  <c r="J26" i="2"/>
  <c r="J28" i="2"/>
  <c r="J31" i="2"/>
  <c r="J32" i="2"/>
  <c r="C44" i="2"/>
  <c r="I9" i="1"/>
  <c r="J9" i="1"/>
  <c r="K9" i="1"/>
  <c r="L9" i="1"/>
  <c r="I10" i="1"/>
  <c r="J10" i="1"/>
  <c r="K10" i="1"/>
  <c r="L10" i="1"/>
  <c r="I11" i="1"/>
  <c r="J11" i="1"/>
  <c r="K11" i="1"/>
  <c r="L11" i="1"/>
  <c r="I12" i="1"/>
  <c r="J12" i="1"/>
  <c r="K12" i="1"/>
  <c r="L12" i="1"/>
  <c r="I13" i="1"/>
  <c r="J13" i="1"/>
  <c r="K13" i="1"/>
  <c r="L13" i="1"/>
  <c r="I14" i="1"/>
  <c r="J14" i="1"/>
  <c r="K14" i="1"/>
  <c r="L14" i="1"/>
  <c r="H15" i="1"/>
  <c r="I15" i="1"/>
  <c r="J15" i="1"/>
  <c r="K15" i="1"/>
  <c r="L15" i="1"/>
  <c r="H16" i="1"/>
  <c r="I16" i="1"/>
  <c r="J16" i="1"/>
  <c r="K16" i="1"/>
  <c r="L16" i="1"/>
  <c r="H18" i="1"/>
  <c r="I18" i="1"/>
  <c r="J18" i="1"/>
  <c r="K18" i="1"/>
  <c r="L18" i="1"/>
  <c r="H19" i="1"/>
  <c r="I19" i="1"/>
  <c r="J19" i="1"/>
  <c r="K19" i="1"/>
  <c r="L19" i="1"/>
  <c r="H20" i="1"/>
  <c r="I20" i="1"/>
  <c r="J20" i="1"/>
  <c r="K20" i="1"/>
  <c r="L20" i="1"/>
  <c r="I25" i="1"/>
  <c r="J25" i="1"/>
  <c r="K25" i="1"/>
  <c r="L25" i="1"/>
  <c r="I26" i="1"/>
  <c r="J26" i="1"/>
  <c r="K26" i="1"/>
  <c r="I27" i="1"/>
  <c r="J27" i="1"/>
  <c r="K27" i="1"/>
  <c r="I28" i="1"/>
  <c r="J28" i="1"/>
  <c r="K28" i="1"/>
  <c r="I29" i="1"/>
  <c r="J29" i="1"/>
  <c r="K29" i="1"/>
  <c r="I31" i="1"/>
  <c r="J31" i="1"/>
  <c r="K31" i="1"/>
  <c r="L31" i="1"/>
  <c r="I32" i="1"/>
  <c r="J32" i="1"/>
  <c r="K32" i="1"/>
  <c r="I33" i="1"/>
  <c r="J33" i="1"/>
  <c r="K33" i="1"/>
  <c r="I34" i="1"/>
  <c r="J34" i="1"/>
  <c r="K34" i="1"/>
  <c r="I35" i="1"/>
  <c r="J35" i="1"/>
  <c r="K35" i="1"/>
  <c r="I37" i="1"/>
  <c r="J37" i="1"/>
  <c r="K37" i="1"/>
  <c r="L37" i="1"/>
  <c r="I38" i="1"/>
  <c r="J38" i="1"/>
  <c r="K38" i="1"/>
  <c r="I39" i="1"/>
  <c r="J39" i="1"/>
  <c r="K39" i="1"/>
  <c r="I40" i="1"/>
  <c r="J40" i="1"/>
  <c r="K40" i="1"/>
  <c r="I41" i="1"/>
  <c r="J41" i="1"/>
  <c r="K41" i="1"/>
  <c r="I43" i="1"/>
  <c r="J43" i="1"/>
  <c r="K43" i="1"/>
  <c r="L43" i="1"/>
  <c r="I44" i="1"/>
  <c r="J44" i="1"/>
  <c r="K44" i="1"/>
  <c r="I45" i="1"/>
  <c r="J45" i="1"/>
  <c r="K45" i="1"/>
  <c r="I46" i="1"/>
  <c r="J46" i="1"/>
  <c r="K46" i="1"/>
  <c r="I47" i="1"/>
  <c r="J47" i="1"/>
  <c r="K47" i="1"/>
  <c r="I49" i="1"/>
  <c r="J49" i="1"/>
  <c r="K49" i="1"/>
  <c r="L49" i="1"/>
  <c r="I50" i="1"/>
  <c r="J50" i="1"/>
  <c r="K50" i="1"/>
  <c r="I51" i="1"/>
  <c r="J51" i="1"/>
  <c r="K51" i="1"/>
  <c r="I52" i="1"/>
  <c r="J52" i="1"/>
  <c r="K52" i="1"/>
  <c r="I53" i="1"/>
  <c r="J53" i="1"/>
  <c r="K53" i="1"/>
  <c r="I55" i="1"/>
  <c r="J55" i="1"/>
  <c r="K55" i="1"/>
  <c r="L55" i="1"/>
  <c r="I56" i="1"/>
  <c r="J56" i="1"/>
  <c r="K56" i="1"/>
  <c r="L56" i="1"/>
  <c r="I61" i="1"/>
  <c r="J61" i="1"/>
  <c r="K61" i="1"/>
  <c r="I62" i="1"/>
  <c r="J62" i="1"/>
  <c r="K62" i="1"/>
  <c r="I63" i="1"/>
  <c r="J63" i="1"/>
  <c r="K63" i="1"/>
  <c r="I64" i="1"/>
  <c r="J64" i="1"/>
  <c r="K64" i="1"/>
  <c r="I66" i="1"/>
  <c r="J66" i="1"/>
  <c r="K66" i="1"/>
  <c r="I67" i="1"/>
  <c r="J67" i="1"/>
  <c r="K67" i="1"/>
  <c r="I68" i="1"/>
  <c r="J68" i="1"/>
  <c r="K68" i="1"/>
  <c r="I69" i="1"/>
  <c r="J69" i="1"/>
  <c r="K69" i="1"/>
  <c r="I71" i="1"/>
  <c r="J71" i="1"/>
  <c r="K71" i="1"/>
  <c r="I72" i="1"/>
  <c r="J72" i="1"/>
  <c r="K72" i="1"/>
  <c r="I73" i="1"/>
  <c r="J73" i="1"/>
  <c r="K73" i="1"/>
  <c r="I74" i="1"/>
  <c r="J74" i="1"/>
  <c r="K74" i="1"/>
  <c r="I79" i="1"/>
  <c r="J79" i="1"/>
  <c r="K79" i="1"/>
  <c r="L79" i="1"/>
  <c r="I80" i="1"/>
  <c r="J80" i="1"/>
  <c r="K80" i="1"/>
  <c r="L80" i="1"/>
  <c r="I81" i="1"/>
  <c r="J81" i="1"/>
  <c r="K81" i="1"/>
  <c r="L81" i="1"/>
  <c r="I82" i="1"/>
  <c r="J82" i="1"/>
  <c r="K82" i="1"/>
  <c r="L82" i="1"/>
  <c r="I83" i="1"/>
  <c r="J83" i="1"/>
  <c r="K83" i="1"/>
  <c r="L83" i="1"/>
  <c r="I84" i="1"/>
  <c r="J84" i="1"/>
  <c r="K84" i="1"/>
  <c r="L84" i="1"/>
  <c r="I85" i="1"/>
  <c r="J85" i="1"/>
  <c r="K85" i="1"/>
  <c r="L85" i="1"/>
  <c r="I87" i="1"/>
  <c r="J87" i="1"/>
  <c r="K87" i="1"/>
  <c r="L87" i="1"/>
  <c r="I88" i="1"/>
  <c r="J88" i="1"/>
  <c r="K88" i="1"/>
  <c r="L88" i="1"/>
  <c r="I90" i="1"/>
  <c r="J90" i="1"/>
  <c r="K90" i="1"/>
  <c r="I91" i="1"/>
  <c r="J91" i="1"/>
  <c r="K91" i="1"/>
  <c r="I92" i="1"/>
  <c r="J92" i="1"/>
  <c r="K92" i="1"/>
  <c r="I93" i="1"/>
  <c r="J93" i="1"/>
  <c r="K93" i="1"/>
  <c r="H98" i="1"/>
  <c r="I98" i="1"/>
  <c r="J98" i="1"/>
  <c r="K98" i="1"/>
  <c r="L98" i="1"/>
  <c r="I99" i="1"/>
  <c r="J99" i="1"/>
  <c r="K99" i="1"/>
  <c r="L99" i="1"/>
  <c r="I100" i="1"/>
  <c r="J100" i="1"/>
  <c r="K100" i="1"/>
  <c r="L100" i="1"/>
  <c r="I101" i="1"/>
  <c r="J101" i="1"/>
  <c r="K101" i="1"/>
  <c r="L101" i="1"/>
  <c r="H102" i="1"/>
  <c r="I102" i="1"/>
  <c r="J102" i="1"/>
  <c r="K102" i="1"/>
  <c r="L102" i="1"/>
  <c r="I104" i="1"/>
  <c r="J104" i="1"/>
  <c r="K104" i="1"/>
  <c r="L104" i="1"/>
  <c r="H107" i="1"/>
  <c r="I107" i="1"/>
  <c r="J107" i="1"/>
  <c r="K107" i="1"/>
  <c r="L107" i="1"/>
  <c r="I109" i="1"/>
  <c r="J109" i="1"/>
  <c r="K109" i="1"/>
  <c r="L109" i="1"/>
  <c r="I110" i="1"/>
  <c r="J110" i="1"/>
  <c r="K110" i="1"/>
  <c r="L110" i="1"/>
  <c r="I111" i="1"/>
  <c r="J111" i="1"/>
  <c r="K111" i="1"/>
  <c r="L111" i="1"/>
  <c r="H113" i="1"/>
  <c r="I113" i="1"/>
  <c r="J113" i="1"/>
  <c r="K113" i="1"/>
  <c r="L113" i="1"/>
  <c r="H114" i="1"/>
  <c r="I114" i="1"/>
  <c r="J114" i="1"/>
  <c r="K114" i="1"/>
  <c r="L114" i="1"/>
  <c r="H116" i="1"/>
  <c r="I116" i="1"/>
  <c r="J116" i="1"/>
  <c r="K116" i="1"/>
  <c r="L116" i="1"/>
  <c r="I118" i="1"/>
  <c r="J118" i="1"/>
  <c r="K118" i="1"/>
  <c r="L118" i="1"/>
  <c r="H121" i="1"/>
  <c r="I121" i="1"/>
  <c r="J121" i="1"/>
  <c r="K121" i="1"/>
  <c r="L121" i="1"/>
  <c r="H122" i="1"/>
  <c r="I122" i="1"/>
  <c r="J122" i="1"/>
  <c r="K122" i="1"/>
  <c r="L122" i="1"/>
  <c r="H124" i="1"/>
  <c r="I124" i="1"/>
  <c r="J124" i="1"/>
  <c r="K124" i="1"/>
  <c r="L124" i="1"/>
  <c r="I129" i="1"/>
  <c r="J129" i="1"/>
  <c r="K129" i="1"/>
  <c r="I130" i="1"/>
  <c r="J130" i="1"/>
  <c r="K130" i="1"/>
  <c r="I131" i="1"/>
  <c r="J131" i="1"/>
  <c r="K131" i="1"/>
  <c r="I132" i="1"/>
  <c r="J132" i="1"/>
  <c r="K132" i="1"/>
  <c r="I134" i="1"/>
  <c r="J134" i="1"/>
  <c r="K134" i="1"/>
  <c r="I135" i="1"/>
  <c r="J135" i="1"/>
  <c r="K135" i="1"/>
  <c r="I136" i="1"/>
  <c r="J136" i="1"/>
  <c r="K136" i="1"/>
  <c r="I137" i="1"/>
  <c r="J137" i="1"/>
  <c r="K137" i="1"/>
  <c r="I139" i="1"/>
  <c r="J139" i="1"/>
  <c r="K139" i="1"/>
  <c r="I140" i="1"/>
  <c r="J140" i="1"/>
  <c r="K140" i="1"/>
  <c r="I141" i="1"/>
  <c r="J141" i="1"/>
  <c r="K141" i="1"/>
  <c r="I142" i="1"/>
  <c r="J142" i="1"/>
  <c r="K142" i="1"/>
  <c r="I144" i="1"/>
  <c r="J144" i="1"/>
  <c r="K144" i="1"/>
  <c r="I145" i="1"/>
  <c r="J145" i="1"/>
  <c r="K145" i="1"/>
  <c r="I146" i="1"/>
  <c r="J146" i="1"/>
  <c r="K146" i="1"/>
  <c r="I147" i="1"/>
  <c r="J147" i="1"/>
  <c r="K147" i="1"/>
  <c r="I149" i="1"/>
  <c r="J149" i="1"/>
  <c r="K149" i="1"/>
  <c r="I150" i="1"/>
  <c r="J150" i="1"/>
  <c r="K150" i="1"/>
  <c r="I151" i="1"/>
  <c r="J151" i="1"/>
  <c r="K151" i="1"/>
  <c r="I152" i="1"/>
  <c r="J152" i="1"/>
  <c r="K152" i="1"/>
  <c r="I154" i="1"/>
  <c r="J154" i="1"/>
  <c r="K154" i="1"/>
  <c r="L154" i="1"/>
  <c r="I155" i="1"/>
  <c r="J155" i="1"/>
  <c r="K155" i="1"/>
  <c r="L155" i="1"/>
  <c r="J160" i="1"/>
  <c r="K160" i="1"/>
  <c r="L160" i="1"/>
  <c r="I161" i="1"/>
  <c r="J161" i="1"/>
  <c r="K161" i="1"/>
  <c r="L161" i="1"/>
  <c r="I162" i="1"/>
  <c r="J162" i="1"/>
  <c r="K162" i="1"/>
  <c r="L162" i="1"/>
  <c r="I163" i="1"/>
  <c r="J163" i="1"/>
  <c r="K163" i="1"/>
  <c r="L163" i="1"/>
  <c r="I165" i="1"/>
  <c r="J165" i="1"/>
  <c r="K165" i="1"/>
  <c r="I166" i="1"/>
  <c r="J166" i="1"/>
  <c r="K166" i="1"/>
  <c r="I167" i="1"/>
  <c r="J167" i="1"/>
  <c r="K167" i="1"/>
  <c r="I168" i="1"/>
  <c r="J168" i="1"/>
  <c r="K168" i="1"/>
  <c r="I170" i="1"/>
  <c r="J170" i="1"/>
  <c r="K170" i="1"/>
  <c r="L170" i="1"/>
  <c r="I171" i="1"/>
  <c r="J171" i="1"/>
  <c r="K171" i="1"/>
  <c r="L171" i="1"/>
  <c r="I172" i="1"/>
  <c r="J172" i="1"/>
  <c r="K172" i="1"/>
  <c r="L172" i="1"/>
  <c r="I173" i="1"/>
  <c r="J173" i="1"/>
  <c r="K173" i="1"/>
  <c r="I183" i="1"/>
  <c r="J183" i="1"/>
  <c r="K183" i="1"/>
  <c r="L183" i="1"/>
  <c r="H184" i="1"/>
  <c r="I184" i="1"/>
  <c r="J184" i="1"/>
  <c r="K184" i="1"/>
  <c r="L184" i="1"/>
  <c r="H185" i="1"/>
  <c r="I185" i="1"/>
  <c r="J185" i="1"/>
  <c r="K185" i="1"/>
  <c r="L185" i="1"/>
  <c r="H186" i="1"/>
  <c r="I186" i="1"/>
  <c r="J186" i="1"/>
  <c r="K186" i="1"/>
  <c r="L186" i="1"/>
  <c r="H193" i="1"/>
  <c r="I193" i="1"/>
  <c r="J193" i="1"/>
  <c r="K193" i="1"/>
  <c r="L193" i="1"/>
  <c r="I194" i="1"/>
  <c r="J194" i="1"/>
  <c r="K194" i="1"/>
  <c r="L194" i="1"/>
  <c r="I195" i="1"/>
  <c r="J195" i="1"/>
  <c r="K195" i="1"/>
  <c r="L195" i="1"/>
  <c r="I196" i="1"/>
  <c r="J196" i="1"/>
  <c r="K196" i="1"/>
  <c r="L196" i="1"/>
  <c r="H199" i="1"/>
  <c r="I199" i="1"/>
  <c r="J199" i="1"/>
  <c r="K199" i="1"/>
  <c r="L199" i="1"/>
  <c r="I201" i="1"/>
  <c r="J201" i="1"/>
  <c r="K201" i="1"/>
  <c r="L201" i="1"/>
  <c r="I203" i="1"/>
  <c r="J203" i="1"/>
  <c r="K203" i="1"/>
  <c r="L203" i="1"/>
  <c r="H205" i="1"/>
  <c r="I205" i="1"/>
  <c r="J205" i="1"/>
  <c r="K205" i="1"/>
  <c r="L205" i="1"/>
  <c r="I206" i="1"/>
  <c r="J206" i="1"/>
  <c r="K206" i="1"/>
  <c r="L206" i="1"/>
  <c r="H207" i="1"/>
  <c r="I207" i="1"/>
  <c r="J207" i="1"/>
  <c r="K207" i="1"/>
  <c r="L207" i="1"/>
  <c r="H208" i="1"/>
  <c r="I208" i="1"/>
  <c r="J208" i="1"/>
  <c r="K208" i="1"/>
  <c r="L208" i="1"/>
  <c r="H209" i="1"/>
  <c r="I209" i="1"/>
  <c r="J209" i="1"/>
  <c r="K209" i="1"/>
  <c r="L209" i="1"/>
  <c r="I211" i="1"/>
  <c r="J211" i="1"/>
  <c r="K211" i="1"/>
  <c r="L211" i="1"/>
  <c r="H212" i="1"/>
  <c r="I212" i="1"/>
  <c r="J212" i="1"/>
  <c r="K212" i="1"/>
  <c r="L212" i="1"/>
  <c r="H213" i="1"/>
  <c r="I213" i="1"/>
  <c r="J213" i="1"/>
  <c r="K213" i="1"/>
  <c r="L213" i="1"/>
  <c r="H218" i="1"/>
  <c r="I218" i="1"/>
  <c r="J218" i="1"/>
  <c r="K218" i="1"/>
  <c r="L218" i="1"/>
  <c r="I219" i="1"/>
  <c r="J219" i="1"/>
  <c r="K219" i="1"/>
  <c r="L219" i="1"/>
  <c r="I220" i="1"/>
  <c r="J220" i="1"/>
  <c r="K220" i="1"/>
  <c r="L220" i="1"/>
  <c r="H222" i="1"/>
  <c r="I222" i="1"/>
  <c r="J222" i="1"/>
  <c r="K222" i="1"/>
  <c r="L222" i="1"/>
  <c r="I224" i="1"/>
  <c r="J224" i="1"/>
  <c r="K224" i="1"/>
  <c r="L224" i="1"/>
  <c r="H225" i="1"/>
  <c r="I225" i="1"/>
  <c r="J225" i="1"/>
  <c r="K225" i="1"/>
  <c r="L225" i="1"/>
  <c r="H226" i="1"/>
  <c r="I226" i="1"/>
  <c r="J226" i="1"/>
  <c r="K226" i="1"/>
  <c r="L226" i="1"/>
  <c r="I227" i="1"/>
  <c r="J227" i="1"/>
  <c r="K227" i="1"/>
  <c r="L227" i="1"/>
  <c r="H228" i="1"/>
  <c r="I228" i="1"/>
  <c r="J228" i="1"/>
  <c r="K228" i="1"/>
  <c r="L228" i="1"/>
  <c r="H230" i="1"/>
  <c r="I230" i="1"/>
  <c r="J230" i="1"/>
  <c r="K230" i="1"/>
  <c r="L230" i="1"/>
  <c r="I232" i="1"/>
  <c r="J232" i="1"/>
  <c r="K232" i="1"/>
  <c r="L232" i="1"/>
  <c r="I233" i="1"/>
  <c r="J233" i="1"/>
  <c r="K233" i="1"/>
  <c r="L233" i="1"/>
  <c r="H234" i="1"/>
  <c r="I234" i="1"/>
  <c r="J234" i="1"/>
  <c r="K234" i="1"/>
  <c r="L234" i="1"/>
  <c r="H235" i="1"/>
  <c r="I235" i="1"/>
  <c r="J235" i="1"/>
  <c r="K235" i="1"/>
  <c r="L235" i="1"/>
  <c r="H240" i="1"/>
  <c r="I240" i="1"/>
  <c r="J240" i="1"/>
  <c r="K240" i="1"/>
  <c r="L240" i="1"/>
  <c r="H242" i="1"/>
  <c r="I242" i="1"/>
  <c r="J242" i="1"/>
  <c r="K242" i="1"/>
  <c r="L242" i="1"/>
  <c r="H244" i="1"/>
  <c r="I244" i="1"/>
  <c r="J244" i="1"/>
  <c r="K244" i="1"/>
  <c r="L244" i="1"/>
  <c r="H246" i="1"/>
  <c r="I246" i="1"/>
  <c r="J246" i="1"/>
  <c r="K246" i="1"/>
  <c r="L246" i="1"/>
  <c r="H248" i="1"/>
  <c r="I248" i="1"/>
  <c r="J248" i="1"/>
  <c r="K248" i="1"/>
  <c r="L248" i="1"/>
  <c r="H257" i="1"/>
  <c r="I257" i="1"/>
  <c r="J257" i="1"/>
  <c r="K257" i="1"/>
  <c r="L257" i="1"/>
  <c r="H258" i="1"/>
  <c r="I258" i="1"/>
  <c r="J258" i="1"/>
  <c r="K258" i="1"/>
  <c r="L258" i="1"/>
</calcChain>
</file>

<file path=xl/sharedStrings.xml><?xml version="1.0" encoding="utf-8"?>
<sst xmlns="http://schemas.openxmlformats.org/spreadsheetml/2006/main" count="276" uniqueCount="188">
  <si>
    <t>x</t>
  </si>
  <si>
    <t>NVIDIA Corporation (NASDAQ: NVDA)</t>
  </si>
  <si>
    <t>Current Share Price:</t>
  </si>
  <si>
    <t>Case Toggle (1 → 3):</t>
  </si>
  <si>
    <t>Circularity Switch:</t>
  </si>
  <si>
    <t>Latest Closing Date:</t>
  </si>
  <si>
    <t>Active Case:</t>
  </si>
  <si>
    <t>Tax Rate, %:</t>
  </si>
  <si>
    <t>Income Statement</t>
  </si>
  <si>
    <t>($ in millions)</t>
  </si>
  <si>
    <t>Total Revenue</t>
  </si>
  <si>
    <t>Less: Cost of Revenue</t>
  </si>
  <si>
    <t>Gross Profit</t>
  </si>
  <si>
    <t>Less: Research and Development</t>
  </si>
  <si>
    <t>Less: Sales, General &amp; Administrative</t>
  </si>
  <si>
    <t>EBIT</t>
  </si>
  <si>
    <t>Less: Interest Expense</t>
  </si>
  <si>
    <t>Plus: Interest Income</t>
  </si>
  <si>
    <t>Plus: Other Income / Expense, net</t>
  </si>
  <si>
    <t>EBT</t>
  </si>
  <si>
    <t>Less: Income Tax</t>
  </si>
  <si>
    <t>Net Income</t>
  </si>
  <si>
    <t>Revenue Growth Analysis</t>
  </si>
  <si>
    <t>Gaming Revenue</t>
  </si>
  <si>
    <t>Y/Y Growth in Gaming Revenue, %</t>
  </si>
  <si>
    <t>NA</t>
  </si>
  <si>
    <t>Base Case</t>
  </si>
  <si>
    <t>Upside Case</t>
  </si>
  <si>
    <t>Downside Case</t>
  </si>
  <si>
    <t>Data Center Revenue</t>
  </si>
  <si>
    <t>Y/Y Growth in Data Center Revenue, %</t>
  </si>
  <si>
    <t>Professional Visualization Revenue</t>
  </si>
  <si>
    <t>Y/Y Growth in Professional Visualization Revenue, %</t>
  </si>
  <si>
    <t>Automotive Revenue</t>
  </si>
  <si>
    <t>Y/Y Growth in Automotive Revenue, %</t>
  </si>
  <si>
    <t>OEM and Other Revenue</t>
  </si>
  <si>
    <t>Y/Y Growth in OEM and Other Revenue, %</t>
  </si>
  <si>
    <t>Y/Y Growth in Total Revenue, %</t>
  </si>
  <si>
    <t>Margin Analysis</t>
  </si>
  <si>
    <t>Gross Margin, %</t>
  </si>
  <si>
    <t>R&amp;D Margin, %</t>
  </si>
  <si>
    <t>SG&amp;A Margin, %</t>
  </si>
  <si>
    <t>Non-GAAP Reconciliation</t>
  </si>
  <si>
    <t>Plus: Stock-Based Compensation</t>
  </si>
  <si>
    <t>Adjusted EBIT</t>
  </si>
  <si>
    <t>Non-GAAP EBIT Margin, %</t>
  </si>
  <si>
    <t>Plus: D&amp;A</t>
  </si>
  <si>
    <t>Adjusted EBITDA</t>
  </si>
  <si>
    <t>Non-GAAP EBITDA Margin, %</t>
  </si>
  <si>
    <t>Plus: Rental Expense</t>
  </si>
  <si>
    <t>Adjusted EBITDAR</t>
  </si>
  <si>
    <t>SBC % of Revenue</t>
  </si>
  <si>
    <t>Balance Sheet</t>
  </si>
  <si>
    <t>Cash and Cash Equivalents</t>
  </si>
  <si>
    <t>Accounts Receivable, net</t>
  </si>
  <si>
    <t>Inventories</t>
  </si>
  <si>
    <t>Prepaid Expenses</t>
  </si>
  <si>
    <t>Total Current Assets</t>
  </si>
  <si>
    <t>PP&amp;E, net</t>
  </si>
  <si>
    <t>Intangible Assets and Goodwill</t>
  </si>
  <si>
    <t>Other Long-Term Assets</t>
  </si>
  <si>
    <t>Total Assets</t>
  </si>
  <si>
    <t>Accounts Payable</t>
  </si>
  <si>
    <t>Accrued Liabilities</t>
  </si>
  <si>
    <t>Total Current Liabilities</t>
  </si>
  <si>
    <t>Commercial Paper</t>
  </si>
  <si>
    <t>Long-Term Debt</t>
  </si>
  <si>
    <t>Other Long-Term Liabilities</t>
  </si>
  <si>
    <t>Total Liabilities</t>
  </si>
  <si>
    <t>Common Stock and APIC</t>
  </si>
  <si>
    <t>Treasury Stock</t>
  </si>
  <si>
    <t>Other Comprehensive Income (OCI)</t>
  </si>
  <si>
    <t>Retained Earnings</t>
  </si>
  <si>
    <t>Total Liabilities and Equity</t>
  </si>
  <si>
    <t>Check</t>
  </si>
  <si>
    <t>Working Capital Forecast</t>
  </si>
  <si>
    <t>Days Sales Outstanding (DSO)</t>
  </si>
  <si>
    <t>Days Inventory Outstanding (DIO)</t>
  </si>
  <si>
    <t>Prepaid Expenses % of Revenue</t>
  </si>
  <si>
    <t>Days Payable Outstanding (DPO)</t>
  </si>
  <si>
    <t>Accrued Liabilities % of SG&amp;A</t>
  </si>
  <si>
    <t>Net Working Capital (NWC)</t>
  </si>
  <si>
    <t>(Increase) / Decrease in NWC</t>
  </si>
  <si>
    <t>PP&amp;E and Intangibles Forecast</t>
  </si>
  <si>
    <t>PP&amp;E, BoP</t>
  </si>
  <si>
    <t>Plus: Capex</t>
  </si>
  <si>
    <t>Less: Depreciation</t>
  </si>
  <si>
    <t>PP&amp;E, EoP</t>
  </si>
  <si>
    <t>Capex % of Revenue</t>
  </si>
  <si>
    <t>Depreciation % of Capex</t>
  </si>
  <si>
    <t>Intangibles, BoP</t>
  </si>
  <si>
    <t>Less: Amortization of Intangibles</t>
  </si>
  <si>
    <t>Less: Goodwill Impairment</t>
  </si>
  <si>
    <t>Intangibles, EoP</t>
  </si>
  <si>
    <t>Retained Earnings Schedule</t>
  </si>
  <si>
    <t>Retained Earnings, BoP</t>
  </si>
  <si>
    <t>Plus: Net Income</t>
  </si>
  <si>
    <t>Less: Dividends</t>
  </si>
  <si>
    <t>Retained Earnings, EoP</t>
  </si>
  <si>
    <t>Dividend Payout Ratio, %</t>
  </si>
  <si>
    <t>Cash Flow Statement</t>
  </si>
  <si>
    <t>Depreciation and Amortization</t>
  </si>
  <si>
    <t>Stock-Based Compensation</t>
  </si>
  <si>
    <t>Change in NWC</t>
  </si>
  <si>
    <t>Change in Other Long-Term Assets</t>
  </si>
  <si>
    <t>Change in Other Long-Term Liabilities</t>
  </si>
  <si>
    <t>Cash Flow from Operating Activities (CFO)</t>
  </si>
  <si>
    <t>Capital Expenditures</t>
  </si>
  <si>
    <t>Other Investing Activities</t>
  </si>
  <si>
    <t>Cash Flow from Investing Activities (CFI)</t>
  </si>
  <si>
    <t>Commercial Paper Borrowing / (Repayment)</t>
  </si>
  <si>
    <t>Mandatory Debt Repayment</t>
  </si>
  <si>
    <t>Optional Debt Repayment</t>
  </si>
  <si>
    <t>Dividend Issuances</t>
  </si>
  <si>
    <t>Cash Flow from Financing Activities (CFF)</t>
  </si>
  <si>
    <t>Cash, BoP</t>
  </si>
  <si>
    <t>Plus: Net Change in Cash</t>
  </si>
  <si>
    <t>Cash, EoP</t>
  </si>
  <si>
    <t>Debt Schedule</t>
  </si>
  <si>
    <t>FCF, Pre-Debt Repayment</t>
  </si>
  <si>
    <t>Plus: Beginning Cash Balance</t>
  </si>
  <si>
    <t>Less: Mandatory Repayment</t>
  </si>
  <si>
    <t>Less: Minimum Cash Balance</t>
  </si>
  <si>
    <t>FCF, Pre-Commercial Paper</t>
  </si>
  <si>
    <t>Commercial Paper, BoP</t>
  </si>
  <si>
    <t>Plus: Borrowing / (Repayment)</t>
  </si>
  <si>
    <t>Commercial Paper, EOP</t>
  </si>
  <si>
    <t>Unused Amount, BoP</t>
  </si>
  <si>
    <t>Unused Amount, EoP</t>
  </si>
  <si>
    <t>FCF, Pre-Optional Repayment</t>
  </si>
  <si>
    <t>Long-Term Debt, BoP</t>
  </si>
  <si>
    <t>Less: Optional Repayment</t>
  </si>
  <si>
    <t>Long-Term Debt, EoP</t>
  </si>
  <si>
    <t>Interest Expense Schedule</t>
  </si>
  <si>
    <t>Commercial Paper Interest Expense</t>
  </si>
  <si>
    <t>CP Interest Rate, %</t>
  </si>
  <si>
    <t>Plus: Long-Term Debt Interest Expense</t>
  </si>
  <si>
    <t>LT Debt Interest Rate, %</t>
  </si>
  <si>
    <t>Interest Expense</t>
  </si>
  <si>
    <t>Interest Income</t>
  </si>
  <si>
    <t>Cash Interest Rate, %</t>
  </si>
  <si>
    <t>Earnings Per Share (EPS) Schedule</t>
  </si>
  <si>
    <t>Basic Shares Outstanding</t>
  </si>
  <si>
    <t>Net Differential</t>
  </si>
  <si>
    <t>Diluted Shares Outstanding</t>
  </si>
  <si>
    <t>Basic EPS</t>
  </si>
  <si>
    <t>Diluted EPS</t>
  </si>
  <si>
    <t>Free Cash Flow Build</t>
  </si>
  <si>
    <t>Less: Taxes</t>
  </si>
  <si>
    <t>Tax Rate, %</t>
  </si>
  <si>
    <t>NOPAT</t>
  </si>
  <si>
    <t>Less: Increase in NWC</t>
  </si>
  <si>
    <t>Less: Capex</t>
  </si>
  <si>
    <t>Free Cash Flow to Firm (FCFF)</t>
  </si>
  <si>
    <t>FCFF Growth Rate, %</t>
  </si>
  <si>
    <t>Discount Factor (Mid-Year Convention)</t>
  </si>
  <si>
    <t>Present Value of FCFF</t>
  </si>
  <si>
    <t>WACC Calculation</t>
  </si>
  <si>
    <t>DCF Valuation</t>
  </si>
  <si>
    <t>Cost of Debt Calculation</t>
  </si>
  <si>
    <t>Sum of Projected FCFF (Stage 1)</t>
  </si>
  <si>
    <t>Terminal Growth Rate, %</t>
  </si>
  <si>
    <t>Total Debt</t>
  </si>
  <si>
    <t>2027 FCFF x (1 + g)</t>
  </si>
  <si>
    <t>Pre-Tax Cost of Debt</t>
  </si>
  <si>
    <t>Terminal Value (TV) in Final Year</t>
  </si>
  <si>
    <t>Effective Tax Rate, %</t>
  </si>
  <si>
    <t>PV of Terminal Value (Stage 2)</t>
  </si>
  <si>
    <t>After-Tax Cost of Debt (kd)</t>
  </si>
  <si>
    <t>Total Enterprise Value (TEV)</t>
  </si>
  <si>
    <t>Less: Net Debt</t>
  </si>
  <si>
    <t>Capital Asset Pricing Model (CAPM)</t>
  </si>
  <si>
    <t>Equity Value</t>
  </si>
  <si>
    <t>Risk-Free Rate (rf)</t>
  </si>
  <si>
    <t>Beta (β), 5Y</t>
  </si>
  <si>
    <t>Equity Risk Premium (ERP)</t>
  </si>
  <si>
    <t>Implied Share Price</t>
  </si>
  <si>
    <t>Cost of Equity (ke)</t>
  </si>
  <si>
    <t>% Premium / (Discount)</t>
  </si>
  <si>
    <t>Debt + Equity Weights</t>
  </si>
  <si>
    <t>($)</t>
  </si>
  <si>
    <t>(%)</t>
  </si>
  <si>
    <t>Total Debt Balance</t>
  </si>
  <si>
    <t>Market Value of Equity</t>
  </si>
  <si>
    <t>Total Capitalization</t>
  </si>
  <si>
    <t>WACC</t>
  </si>
  <si>
    <t>Sensitivity Analysis</t>
  </si>
  <si>
    <t>WACC,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</si>
</sst>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164" formatCode="#,##0_);\(#,##0\);\–_);@_)"/>
    <numFmt numFmtId="165" formatCode="&quot;$&quot;#,##0.00_);\(&quot;$&quot;#,##0.00\);\–_);@_)"/>
    <numFmt numFmtId="166" formatCode="&quot;OFF&quot;_);&quot;OFF&quot;_);&quot;ON&quot;_)"/>
    <numFmt numFmtId="167" formatCode="mm/dd/yy_)"/>
    <numFmt numFmtId="168" formatCode="#,##0.0%_);\(#,##0.0%\);\–_);@_)"/>
    <numFmt numFmtId="169" formatCode="yyyy&quot;A&quot;_)"/>
    <numFmt numFmtId="170" formatCode="yyyy&quot;E&quot;_)"/>
    <numFmt numFmtId="171" formatCode="&quot;$&quot;#,##0_);\(&quot;$&quot;#,##0\);\–_);@_)"/>
    <numFmt numFmtId="172" formatCode="0.0%_);\(0.0%\);0.0%_);@_)"/>
    <numFmt numFmtId="173" formatCode="0\ &quot;Days&quot;_)"/>
    <numFmt numFmtId="174" formatCode="#,##0.0_);\(#,##0.0\);\-\-_);@_)"/>
    <numFmt numFmtId="175" formatCode="#,##0.00_);\(#,##0.00\);\–_);@_)"/>
    <numFmt numFmtId="176" formatCode=";;;"/>
  </numFmts>
  <fonts count="13" x14ac:knownFonts="1">
    <font>
      <sz val="11"/>
      <color theme="1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rgb="FF0000FF"/>
      <name val="Arial"/>
      <family val="2"/>
    </font>
    <font>
      <b/>
      <sz val="10"/>
      <color rgb="FF0000FF"/>
      <name val="Arial"/>
      <family val="2"/>
    </font>
    <font>
      <sz val="10"/>
      <color rgb="FF3333FF"/>
      <name val="Arial"/>
      <family val="2"/>
    </font>
    <font>
      <sz val="10"/>
      <color rgb="FF111111"/>
      <name val="Arial"/>
      <family val="2"/>
    </font>
    <font>
      <sz val="10"/>
      <color theme="1"/>
      <name val="Arial"/>
      <family val="2"/>
    </font>
    <font>
      <sz val="10"/>
      <color rgb="FF006600"/>
      <name val="Arial"/>
      <family val="2"/>
    </font>
    <font>
      <u/>
      <sz val="10"/>
      <color theme="1"/>
      <name val="Arial"/>
      <family val="2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DFE9F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C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/>
      <bottom/>
      <diagonal/>
    </border>
    <border>
      <left/>
      <right style="dashed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ashed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5">
    <xf numFmtId="0" fontId="0" fillId="0" borderId="0" xfId="0"/>
    <xf numFmtId="49" fontId="1" fillId="0" borderId="0" xfId="0" applyNumberFormat="1" applyFont="1" applyAlignment="1">
      <alignment horizontal="left"/>
    </xf>
    <xf numFmtId="164" fontId="2" fillId="0" borderId="0" xfId="0" applyNumberFormat="1" applyFont="1" applyAlignment="1">
      <alignment horizontal="left"/>
    </xf>
    <xf numFmtId="164" fontId="3" fillId="0" borderId="0" xfId="0" applyNumberFormat="1" applyFont="1"/>
    <xf numFmtId="164" fontId="4" fillId="0" borderId="0" xfId="0" applyNumberFormat="1" applyFont="1"/>
    <xf numFmtId="0" fontId="1" fillId="0" borderId="1" xfId="0" applyFont="1" applyBorder="1" applyAlignment="1">
      <alignment horizontal="left"/>
    </xf>
    <xf numFmtId="165" fontId="5" fillId="0" borderId="2" xfId="0" applyNumberFormat="1" applyFont="1" applyBorder="1" applyAlignment="1">
      <alignment horizontal="center"/>
    </xf>
    <xf numFmtId="164" fontId="3" fillId="0" borderId="1" xfId="0" applyNumberFormat="1" applyFont="1" applyBorder="1"/>
    <xf numFmtId="164" fontId="1" fillId="0" borderId="1" xfId="0" applyNumberFormat="1" applyFont="1" applyBorder="1" applyAlignment="1">
      <alignment horizontal="left"/>
    </xf>
    <xf numFmtId="164" fontId="5" fillId="0" borderId="2" xfId="0" applyNumberFormat="1" applyFont="1" applyBorder="1" applyAlignment="1">
      <alignment horizontal="center"/>
    </xf>
    <xf numFmtId="166" fontId="5" fillId="0" borderId="2" xfId="0" applyNumberFormat="1" applyFont="1" applyBorder="1" applyAlignment="1">
      <alignment horizontal="center"/>
    </xf>
    <xf numFmtId="0" fontId="1" fillId="0" borderId="0" xfId="0" applyFont="1" applyAlignment="1">
      <alignment horizontal="left"/>
    </xf>
    <xf numFmtId="167" fontId="5" fillId="0" borderId="2" xfId="0" applyNumberFormat="1" applyFont="1" applyBorder="1" applyAlignment="1">
      <alignment horizontal="center"/>
    </xf>
    <xf numFmtId="164" fontId="3" fillId="0" borderId="0" xfId="0" applyNumberFormat="1" applyFont="1" applyAlignment="1">
      <alignment horizontal="left"/>
    </xf>
    <xf numFmtId="164" fontId="1" fillId="0" borderId="2" xfId="0" applyNumberFormat="1" applyFont="1" applyBorder="1" applyAlignment="1">
      <alignment horizontal="center"/>
    </xf>
    <xf numFmtId="168" fontId="5" fillId="0" borderId="2" xfId="0" applyNumberFormat="1" applyFont="1" applyBorder="1" applyAlignment="1">
      <alignment horizontal="center"/>
    </xf>
    <xf numFmtId="164" fontId="2" fillId="2" borderId="0" xfId="0" applyNumberFormat="1" applyFont="1" applyFill="1" applyAlignment="1">
      <alignment horizontal="left"/>
    </xf>
    <xf numFmtId="164" fontId="2" fillId="2" borderId="0" xfId="0" applyNumberFormat="1" applyFont="1" applyFill="1" applyAlignment="1">
      <alignment horizontal="right"/>
    </xf>
    <xf numFmtId="164" fontId="1" fillId="0" borderId="3" xfId="0" applyNumberFormat="1" applyFont="1" applyBorder="1" applyAlignment="1">
      <alignment horizontal="left"/>
    </xf>
    <xf numFmtId="169" fontId="2" fillId="0" borderId="3" xfId="0" applyNumberFormat="1" applyFont="1" applyBorder="1" applyAlignment="1">
      <alignment horizontal="right"/>
    </xf>
    <xf numFmtId="169" fontId="2" fillId="0" borderId="4" xfId="0" applyNumberFormat="1" applyFont="1" applyBorder="1" applyAlignment="1">
      <alignment horizontal="right"/>
    </xf>
    <xf numFmtId="170" fontId="2" fillId="0" borderId="3" xfId="0" applyNumberFormat="1" applyFont="1" applyBorder="1" applyAlignment="1">
      <alignment horizontal="right"/>
    </xf>
    <xf numFmtId="164" fontId="3" fillId="0" borderId="5" xfId="0" applyNumberFormat="1" applyFont="1" applyBorder="1"/>
    <xf numFmtId="171" fontId="2" fillId="0" borderId="0" xfId="0" applyNumberFormat="1" applyFont="1" applyAlignment="1">
      <alignment horizontal="right"/>
    </xf>
    <xf numFmtId="171" fontId="2" fillId="0" borderId="5" xfId="0" applyNumberFormat="1" applyFont="1" applyBorder="1" applyAlignment="1">
      <alignment horizontal="right"/>
    </xf>
    <xf numFmtId="171" fontId="4" fillId="0" borderId="0" xfId="0" applyNumberFormat="1" applyFont="1" applyAlignment="1">
      <alignment horizontal="right"/>
    </xf>
    <xf numFmtId="164" fontId="5" fillId="0" borderId="0" xfId="0" applyNumberFormat="1" applyFont="1" applyAlignment="1">
      <alignment horizontal="right"/>
    </xf>
    <xf numFmtId="164" fontId="5" fillId="0" borderId="5" xfId="0" applyNumberFormat="1" applyFont="1" applyBorder="1" applyAlignment="1">
      <alignment horizontal="right"/>
    </xf>
    <xf numFmtId="164" fontId="3" fillId="0" borderId="0" xfId="0" applyNumberFormat="1" applyFont="1" applyAlignment="1">
      <alignment horizontal="right"/>
    </xf>
    <xf numFmtId="164" fontId="2" fillId="0" borderId="1" xfId="0" applyNumberFormat="1" applyFont="1" applyBorder="1" applyAlignment="1">
      <alignment horizontal="left"/>
    </xf>
    <xf numFmtId="171" fontId="4" fillId="0" borderId="1" xfId="0" applyNumberFormat="1" applyFont="1" applyBorder="1" applyAlignment="1">
      <alignment horizontal="right"/>
    </xf>
    <xf numFmtId="171" fontId="4" fillId="0" borderId="6" xfId="0" applyNumberFormat="1" applyFont="1" applyBorder="1" applyAlignment="1">
      <alignment horizontal="right"/>
    </xf>
    <xf numFmtId="164" fontId="1" fillId="0" borderId="0" xfId="0" applyNumberFormat="1" applyFont="1" applyAlignment="1">
      <alignment horizontal="left"/>
    </xf>
    <xf numFmtId="172" fontId="3" fillId="0" borderId="5" xfId="0" applyNumberFormat="1" applyFont="1" applyBorder="1" applyAlignment="1">
      <alignment horizontal="right"/>
    </xf>
    <xf numFmtId="171" fontId="6" fillId="0" borderId="0" xfId="0" applyNumberFormat="1" applyFont="1" applyAlignment="1">
      <alignment horizontal="right"/>
    </xf>
    <xf numFmtId="171" fontId="6" fillId="0" borderId="5" xfId="0" applyNumberFormat="1" applyFont="1" applyBorder="1" applyAlignment="1">
      <alignment horizontal="right"/>
    </xf>
    <xf numFmtId="168" fontId="1" fillId="0" borderId="3" xfId="0" applyNumberFormat="1" applyFont="1" applyBorder="1" applyAlignment="1">
      <alignment horizontal="right"/>
    </xf>
    <xf numFmtId="168" fontId="1" fillId="0" borderId="4" xfId="0" applyNumberFormat="1" applyFont="1" applyBorder="1" applyAlignment="1">
      <alignment horizontal="right"/>
    </xf>
    <xf numFmtId="164" fontId="3" fillId="0" borderId="5" xfId="0" applyNumberFormat="1" applyFont="1" applyBorder="1" applyAlignment="1">
      <alignment horizontal="right"/>
    </xf>
    <xf numFmtId="168" fontId="5" fillId="0" borderId="7" xfId="0" applyNumberFormat="1" applyFont="1" applyBorder="1" applyAlignment="1">
      <alignment horizontal="right"/>
    </xf>
    <xf numFmtId="168" fontId="1" fillId="0" borderId="8" xfId="0" applyNumberFormat="1" applyFont="1" applyBorder="1" applyAlignment="1">
      <alignment horizontal="right"/>
    </xf>
    <xf numFmtId="168" fontId="5" fillId="0" borderId="8" xfId="0" applyNumberFormat="1" applyFont="1" applyBorder="1" applyAlignment="1">
      <alignment horizontal="right"/>
    </xf>
    <xf numFmtId="168" fontId="5" fillId="0" borderId="9" xfId="0" applyNumberFormat="1" applyFont="1" applyBorder="1" applyAlignment="1">
      <alignment horizontal="right"/>
    </xf>
    <xf numFmtId="164" fontId="4" fillId="0" borderId="0" xfId="0" applyNumberFormat="1" applyFont="1" applyAlignment="1">
      <alignment horizontal="left"/>
    </xf>
    <xf numFmtId="164" fontId="2" fillId="0" borderId="10" xfId="0" applyNumberFormat="1" applyFont="1" applyBorder="1" applyAlignment="1">
      <alignment horizontal="left"/>
    </xf>
    <xf numFmtId="171" fontId="4" fillId="0" borderId="5" xfId="0" applyNumberFormat="1" applyFont="1" applyBorder="1" applyAlignment="1">
      <alignment horizontal="right"/>
    </xf>
    <xf numFmtId="168" fontId="3" fillId="0" borderId="3" xfId="0" applyNumberFormat="1" applyFont="1" applyBorder="1" applyAlignment="1">
      <alignment horizontal="right"/>
    </xf>
    <xf numFmtId="168" fontId="3" fillId="0" borderId="4" xfId="0" applyNumberFormat="1" applyFont="1" applyBorder="1" applyAlignment="1">
      <alignment horizontal="right"/>
    </xf>
    <xf numFmtId="164" fontId="4" fillId="0" borderId="0" xfId="0" applyNumberFormat="1" applyFont="1" applyAlignment="1">
      <alignment horizontal="right"/>
    </xf>
    <xf numFmtId="164" fontId="4" fillId="0" borderId="5" xfId="0" applyNumberFormat="1" applyFont="1" applyBorder="1" applyAlignment="1">
      <alignment horizontal="right"/>
    </xf>
    <xf numFmtId="49" fontId="2" fillId="0" borderId="0" xfId="0" applyNumberFormat="1" applyFont="1" applyAlignment="1">
      <alignment horizontal="left"/>
    </xf>
    <xf numFmtId="164" fontId="2" fillId="0" borderId="3" xfId="0" applyNumberFormat="1" applyFont="1" applyBorder="1" applyAlignment="1">
      <alignment horizontal="left"/>
    </xf>
    <xf numFmtId="168" fontId="4" fillId="0" borderId="3" xfId="0" applyNumberFormat="1" applyFont="1" applyBorder="1" applyAlignment="1">
      <alignment horizontal="right"/>
    </xf>
    <xf numFmtId="168" fontId="4" fillId="0" borderId="4" xfId="0" applyNumberFormat="1" applyFont="1" applyBorder="1" applyAlignment="1">
      <alignment horizontal="right"/>
    </xf>
    <xf numFmtId="168" fontId="2" fillId="0" borderId="3" xfId="0" applyNumberFormat="1" applyFont="1" applyBorder="1" applyAlignment="1">
      <alignment horizontal="right"/>
    </xf>
    <xf numFmtId="168" fontId="5" fillId="0" borderId="11" xfId="0" applyNumberFormat="1" applyFont="1" applyBorder="1" applyAlignment="1">
      <alignment horizontal="right"/>
    </xf>
    <xf numFmtId="49" fontId="3" fillId="0" borderId="0" xfId="0" applyNumberFormat="1" applyFont="1" applyAlignment="1">
      <alignment horizontal="left"/>
    </xf>
    <xf numFmtId="171" fontId="3" fillId="0" borderId="0" xfId="0" applyNumberFormat="1" applyFont="1" applyAlignment="1">
      <alignment horizontal="right"/>
    </xf>
    <xf numFmtId="171" fontId="3" fillId="0" borderId="5" xfId="0" applyNumberFormat="1" applyFont="1" applyBorder="1" applyAlignment="1">
      <alignment horizontal="right"/>
    </xf>
    <xf numFmtId="171" fontId="2" fillId="0" borderId="1" xfId="0" applyNumberFormat="1" applyFont="1" applyBorder="1" applyAlignment="1">
      <alignment horizontal="right"/>
    </xf>
    <xf numFmtId="171" fontId="2" fillId="0" borderId="6" xfId="0" applyNumberFormat="1" applyFont="1" applyBorder="1" applyAlignment="1">
      <alignment horizontal="right"/>
    </xf>
    <xf numFmtId="168" fontId="3" fillId="0" borderId="0" xfId="0" applyNumberFormat="1" applyFont="1" applyAlignment="1">
      <alignment horizontal="right"/>
    </xf>
    <xf numFmtId="168" fontId="3" fillId="0" borderId="5" xfId="0" applyNumberFormat="1" applyFont="1" applyBorder="1" applyAlignment="1">
      <alignment horizontal="right"/>
    </xf>
    <xf numFmtId="171" fontId="5" fillId="0" borderId="0" xfId="0" applyNumberFormat="1" applyFont="1" applyAlignment="1">
      <alignment horizontal="right"/>
    </xf>
    <xf numFmtId="171" fontId="5" fillId="0" borderId="5" xfId="0" applyNumberFormat="1" applyFont="1" applyBorder="1" applyAlignment="1">
      <alignment horizontal="right"/>
    </xf>
    <xf numFmtId="164" fontId="4" fillId="0" borderId="1" xfId="0" applyNumberFormat="1" applyFont="1" applyBorder="1" applyAlignment="1">
      <alignment horizontal="right"/>
    </xf>
    <xf numFmtId="164" fontId="1" fillId="0" borderId="0" xfId="0" applyNumberFormat="1" applyFont="1" applyAlignment="1">
      <alignment horizontal="right"/>
    </xf>
    <xf numFmtId="164" fontId="1" fillId="0" borderId="5" xfId="0" applyNumberFormat="1" applyFont="1" applyBorder="1" applyAlignment="1">
      <alignment horizontal="right"/>
    </xf>
    <xf numFmtId="164" fontId="1" fillId="0" borderId="1" xfId="0" applyNumberFormat="1" applyFont="1" applyBorder="1" applyAlignment="1">
      <alignment horizontal="center"/>
    </xf>
    <xf numFmtId="164" fontId="1" fillId="0" borderId="6" xfId="0" applyNumberFormat="1" applyFont="1" applyBorder="1" applyAlignment="1">
      <alignment horizontal="center"/>
    </xf>
    <xf numFmtId="164" fontId="4" fillId="0" borderId="3" xfId="0" applyNumberFormat="1" applyFont="1" applyBorder="1" applyAlignment="1">
      <alignment horizontal="right"/>
    </xf>
    <xf numFmtId="173" fontId="4" fillId="0" borderId="3" xfId="0" applyNumberFormat="1" applyFont="1" applyBorder="1" applyAlignment="1">
      <alignment horizontal="right"/>
    </xf>
    <xf numFmtId="173" fontId="4" fillId="0" borderId="4" xfId="0" applyNumberFormat="1" applyFont="1" applyBorder="1" applyAlignment="1">
      <alignment horizontal="right"/>
    </xf>
    <xf numFmtId="173" fontId="2" fillId="0" borderId="3" xfId="0" applyNumberFormat="1" applyFont="1" applyBorder="1" applyAlignment="1">
      <alignment horizontal="right"/>
    </xf>
    <xf numFmtId="173" fontId="5" fillId="0" borderId="7" xfId="0" applyNumberFormat="1" applyFont="1" applyBorder="1" applyAlignment="1">
      <alignment horizontal="right"/>
    </xf>
    <xf numFmtId="173" fontId="1" fillId="0" borderId="8" xfId="0" applyNumberFormat="1" applyFont="1" applyBorder="1" applyAlignment="1">
      <alignment horizontal="right"/>
    </xf>
    <xf numFmtId="173" fontId="5" fillId="0" borderId="8" xfId="0" applyNumberFormat="1" applyFont="1" applyBorder="1" applyAlignment="1">
      <alignment horizontal="right"/>
    </xf>
    <xf numFmtId="173" fontId="5" fillId="0" borderId="9" xfId="0" applyNumberFormat="1" applyFont="1" applyBorder="1" applyAlignment="1">
      <alignment horizontal="right"/>
    </xf>
    <xf numFmtId="173" fontId="1" fillId="0" borderId="11" xfId="0" applyNumberFormat="1" applyFont="1" applyBorder="1" applyAlignment="1">
      <alignment horizontal="right"/>
    </xf>
    <xf numFmtId="173" fontId="5" fillId="0" borderId="11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68" fontId="1" fillId="0" borderId="11" xfId="0" applyNumberFormat="1" applyFont="1" applyBorder="1" applyAlignment="1">
      <alignment horizontal="right"/>
    </xf>
    <xf numFmtId="164" fontId="8" fillId="0" borderId="0" xfId="0" applyNumberFormat="1" applyFont="1" applyAlignment="1">
      <alignment horizontal="right"/>
    </xf>
    <xf numFmtId="171" fontId="4" fillId="0" borderId="3" xfId="0" applyNumberFormat="1" applyFont="1" applyBorder="1" applyAlignment="1">
      <alignment horizontal="right"/>
    </xf>
    <xf numFmtId="171" fontId="4" fillId="0" borderId="4" xfId="0" applyNumberFormat="1" applyFont="1" applyBorder="1" applyAlignment="1">
      <alignment horizontal="right"/>
    </xf>
    <xf numFmtId="164" fontId="4" fillId="0" borderId="1" xfId="0" applyNumberFormat="1" applyFont="1" applyBorder="1" applyAlignment="1">
      <alignment horizontal="left"/>
    </xf>
    <xf numFmtId="168" fontId="2" fillId="0" borderId="4" xfId="0" applyNumberFormat="1" applyFont="1" applyBorder="1" applyAlignment="1">
      <alignment horizontal="right"/>
    </xf>
    <xf numFmtId="164" fontId="2" fillId="0" borderId="0" xfId="0" applyNumberFormat="1" applyFont="1"/>
    <xf numFmtId="164" fontId="4" fillId="0" borderId="6" xfId="0" applyNumberFormat="1" applyFont="1" applyBorder="1" applyAlignment="1">
      <alignment horizontal="right"/>
    </xf>
    <xf numFmtId="168" fontId="5" fillId="0" borderId="0" xfId="0" applyNumberFormat="1" applyFont="1" applyAlignment="1">
      <alignment horizontal="right"/>
    </xf>
    <xf numFmtId="164" fontId="4" fillId="0" borderId="0" xfId="0" quotePrefix="1" applyNumberFormat="1" applyFont="1" applyAlignment="1">
      <alignment horizontal="right"/>
    </xf>
    <xf numFmtId="171" fontId="5" fillId="0" borderId="12" xfId="0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171" fontId="5" fillId="0" borderId="2" xfId="0" applyNumberFormat="1" applyFont="1" applyBorder="1" applyAlignment="1">
      <alignment horizontal="center"/>
    </xf>
    <xf numFmtId="168" fontId="5" fillId="0" borderId="12" xfId="0" applyNumberFormat="1" applyFont="1" applyBorder="1" applyAlignment="1">
      <alignment horizontal="center"/>
    </xf>
    <xf numFmtId="164" fontId="1" fillId="0" borderId="6" xfId="0" applyNumberFormat="1" applyFont="1" applyBorder="1" applyAlignment="1">
      <alignment horizontal="right"/>
    </xf>
    <xf numFmtId="171" fontId="4" fillId="0" borderId="1" xfId="0" applyNumberFormat="1" applyFont="1" applyBorder="1"/>
    <xf numFmtId="164" fontId="5" fillId="0" borderId="0" xfId="0" applyNumberFormat="1" applyFont="1" applyAlignment="1">
      <alignment horizontal="center"/>
    </xf>
    <xf numFmtId="164" fontId="1" fillId="0" borderId="0" xfId="0" applyNumberFormat="1" applyFont="1"/>
    <xf numFmtId="165" fontId="3" fillId="0" borderId="0" xfId="0" applyNumberFormat="1" applyFont="1" applyAlignment="1">
      <alignment horizontal="right"/>
    </xf>
    <xf numFmtId="165" fontId="3" fillId="0" borderId="5" xfId="0" applyNumberFormat="1" applyFont="1" applyBorder="1" applyAlignment="1">
      <alignment horizontal="right"/>
    </xf>
    <xf numFmtId="164" fontId="9" fillId="0" borderId="0" xfId="0" applyNumberFormat="1" applyFont="1"/>
    <xf numFmtId="49" fontId="9" fillId="0" borderId="0" xfId="0" applyNumberFormat="1" applyFont="1" applyAlignment="1">
      <alignment horizontal="left"/>
    </xf>
    <xf numFmtId="164" fontId="9" fillId="0" borderId="1" xfId="0" applyNumberFormat="1" applyFont="1" applyBorder="1" applyAlignment="1">
      <alignment horizontal="left"/>
    </xf>
    <xf numFmtId="164" fontId="9" fillId="0" borderId="1" xfId="0" applyNumberFormat="1" applyFont="1" applyBorder="1"/>
    <xf numFmtId="164" fontId="2" fillId="2" borderId="0" xfId="0" applyNumberFormat="1" applyFont="1" applyFill="1"/>
    <xf numFmtId="164" fontId="9" fillId="0" borderId="3" xfId="0" applyNumberFormat="1" applyFont="1" applyBorder="1" applyAlignment="1">
      <alignment horizontal="left"/>
    </xf>
    <xf numFmtId="164" fontId="9" fillId="0" borderId="3" xfId="0" applyNumberFormat="1" applyFont="1" applyBorder="1"/>
    <xf numFmtId="164" fontId="9" fillId="0" borderId="0" xfId="0" applyNumberFormat="1" applyFont="1" applyAlignment="1">
      <alignment horizontal="left"/>
    </xf>
    <xf numFmtId="171" fontId="10" fillId="0" borderId="0" xfId="0" applyNumberFormat="1" applyFont="1"/>
    <xf numFmtId="164" fontId="9" fillId="0" borderId="0" xfId="0" applyNumberFormat="1" applyFont="1" applyAlignment="1">
      <alignment horizontal="right"/>
    </xf>
    <xf numFmtId="168" fontId="10" fillId="0" borderId="2" xfId="0" applyNumberFormat="1" applyFont="1" applyBorder="1" applyAlignment="1">
      <alignment horizontal="center"/>
    </xf>
    <xf numFmtId="164" fontId="4" fillId="0" borderId="1" xfId="0" applyNumberFormat="1" applyFont="1" applyBorder="1"/>
    <xf numFmtId="164" fontId="10" fillId="0" borderId="0" xfId="0" applyNumberFormat="1" applyFont="1"/>
    <xf numFmtId="164" fontId="9" fillId="0" borderId="0" xfId="0" applyNumberFormat="1" applyFont="1" applyAlignment="1">
      <alignment horizontal="left" indent="1"/>
    </xf>
    <xf numFmtId="171" fontId="9" fillId="0" borderId="0" xfId="0" applyNumberFormat="1" applyFont="1" applyAlignment="1">
      <alignment horizontal="right"/>
    </xf>
    <xf numFmtId="168" fontId="9" fillId="0" borderId="0" xfId="0" applyNumberFormat="1" applyFont="1"/>
    <xf numFmtId="174" fontId="0" fillId="0" borderId="0" xfId="0" applyNumberFormat="1"/>
    <xf numFmtId="164" fontId="1" fillId="2" borderId="0" xfId="0" applyNumberFormat="1" applyFont="1" applyFill="1"/>
    <xf numFmtId="164" fontId="4" fillId="3" borderId="0" xfId="0" applyNumberFormat="1" applyFont="1" applyFill="1" applyAlignment="1">
      <alignment horizontal="left"/>
    </xf>
    <xf numFmtId="164" fontId="11" fillId="3" borderId="0" xfId="0" applyNumberFormat="1" applyFont="1" applyFill="1"/>
    <xf numFmtId="164" fontId="9" fillId="3" borderId="0" xfId="0" applyNumberFormat="1" applyFont="1" applyFill="1"/>
    <xf numFmtId="171" fontId="10" fillId="0" borderId="1" xfId="0" applyNumberFormat="1" applyFont="1" applyBorder="1"/>
    <xf numFmtId="168" fontId="4" fillId="0" borderId="1" xfId="0" applyNumberFormat="1" applyFont="1" applyBorder="1"/>
    <xf numFmtId="164" fontId="10" fillId="0" borderId="0" xfId="0" applyNumberFormat="1" applyFont="1" applyAlignment="1">
      <alignment horizontal="right"/>
    </xf>
    <xf numFmtId="168" fontId="5" fillId="0" borderId="1" xfId="0" applyNumberFormat="1" applyFont="1" applyBorder="1"/>
    <xf numFmtId="175" fontId="5" fillId="0" borderId="0" xfId="0" applyNumberFormat="1" applyFont="1"/>
    <xf numFmtId="168" fontId="5" fillId="0" borderId="0" xfId="0" applyNumberFormat="1" applyFont="1"/>
    <xf numFmtId="164" fontId="4" fillId="4" borderId="13" xfId="0" applyNumberFormat="1" applyFont="1" applyFill="1" applyBorder="1"/>
    <xf numFmtId="164" fontId="4" fillId="4" borderId="14" xfId="0" applyNumberFormat="1" applyFont="1" applyFill="1" applyBorder="1"/>
    <xf numFmtId="165" fontId="4" fillId="4" borderId="15" xfId="0" applyNumberFormat="1" applyFont="1" applyFill="1" applyBorder="1" applyAlignment="1">
      <alignment horizontal="right"/>
    </xf>
    <xf numFmtId="168" fontId="9" fillId="0" borderId="0" xfId="0" applyNumberFormat="1" applyFont="1" applyAlignment="1">
      <alignment horizontal="right"/>
    </xf>
    <xf numFmtId="164" fontId="9" fillId="3" borderId="0" xfId="0" applyNumberFormat="1" applyFont="1" applyFill="1" applyAlignment="1">
      <alignment horizontal="right"/>
    </xf>
    <xf numFmtId="171" fontId="9" fillId="0" borderId="1" xfId="0" applyNumberFormat="1" applyFont="1" applyBorder="1" applyAlignment="1">
      <alignment horizontal="right"/>
    </xf>
    <xf numFmtId="168" fontId="9" fillId="0" borderId="1" xfId="0" applyNumberFormat="1" applyFont="1" applyBorder="1" applyAlignment="1">
      <alignment horizontal="right"/>
    </xf>
    <xf numFmtId="168" fontId="4" fillId="0" borderId="1" xfId="0" applyNumberFormat="1" applyFont="1" applyBorder="1" applyAlignment="1">
      <alignment horizontal="right"/>
    </xf>
    <xf numFmtId="164" fontId="4" fillId="4" borderId="13" xfId="0" applyNumberFormat="1" applyFont="1" applyFill="1" applyBorder="1" applyAlignment="1">
      <alignment horizontal="left"/>
    </xf>
    <xf numFmtId="168" fontId="4" fillId="4" borderId="15" xfId="0" applyNumberFormat="1" applyFont="1" applyFill="1" applyBorder="1"/>
    <xf numFmtId="164" fontId="2" fillId="2" borderId="0" xfId="0" applyNumberFormat="1" applyFont="1" applyFill="1" applyAlignment="1">
      <alignment horizontal="centerContinuous"/>
    </xf>
    <xf numFmtId="164" fontId="4" fillId="0" borderId="0" xfId="0" applyNumberFormat="1" applyFont="1" applyAlignment="1">
      <alignment horizontal="centerContinuous"/>
    </xf>
    <xf numFmtId="176" fontId="9" fillId="3" borderId="16" xfId="0" applyNumberFormat="1" applyFont="1" applyFill="1" applyBorder="1" applyAlignment="1">
      <alignment horizontal="center"/>
    </xf>
    <xf numFmtId="168" fontId="5" fillId="3" borderId="2" xfId="0" applyNumberFormat="1" applyFont="1" applyFill="1" applyBorder="1" applyAlignment="1">
      <alignment horizontal="center"/>
    </xf>
    <xf numFmtId="168" fontId="9" fillId="3" borderId="2" xfId="0" applyNumberFormat="1" applyFont="1" applyFill="1" applyBorder="1" applyAlignment="1">
      <alignment horizontal="center"/>
    </xf>
    <xf numFmtId="165" fontId="9" fillId="0" borderId="16" xfId="0" applyNumberFormat="1" applyFont="1" applyBorder="1" applyAlignment="1">
      <alignment horizontal="center"/>
    </xf>
    <xf numFmtId="165" fontId="9" fillId="0" borderId="1" xfId="0" applyNumberFormat="1" applyFont="1" applyBorder="1" applyAlignment="1">
      <alignment horizontal="center"/>
    </xf>
    <xf numFmtId="165" fontId="9" fillId="0" borderId="17" xfId="0" applyNumberFormat="1" applyFont="1" applyBorder="1" applyAlignment="1">
      <alignment horizontal="center"/>
    </xf>
    <xf numFmtId="165" fontId="9" fillId="0" borderId="18" xfId="0" applyNumberFormat="1" applyFont="1" applyBorder="1" applyAlignment="1">
      <alignment horizontal="center"/>
    </xf>
    <xf numFmtId="165" fontId="9" fillId="0" borderId="0" xfId="0" applyNumberFormat="1" applyFont="1" applyAlignment="1">
      <alignment horizontal="center"/>
    </xf>
    <xf numFmtId="165" fontId="9" fillId="0" borderId="19" xfId="0" applyNumberFormat="1" applyFont="1" applyBorder="1" applyAlignment="1">
      <alignment horizontal="center"/>
    </xf>
    <xf numFmtId="164" fontId="12" fillId="0" borderId="0" xfId="0" applyNumberFormat="1" applyFont="1"/>
    <xf numFmtId="165" fontId="9" fillId="0" borderId="20" xfId="0" applyNumberFormat="1" applyFont="1" applyBorder="1" applyAlignment="1">
      <alignment horizontal="center"/>
    </xf>
    <xf numFmtId="165" fontId="9" fillId="0" borderId="10" xfId="0" applyNumberFormat="1" applyFont="1" applyBorder="1" applyAlignment="1">
      <alignment horizontal="center"/>
    </xf>
    <xf numFmtId="165" fontId="9" fillId="0" borderId="2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ai%20Saravanan\Downloads\WSP-NVIDIA-DCF-Model_v2.xlsx" TargetMode="External"/><Relationship Id="rId1" Type="http://schemas.openxmlformats.org/officeDocument/2006/relationships/externalLinkPath" Target="WSP-NVIDIA-DCF-Model_v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ver"/>
      <sheetName val="FSM"/>
      <sheetName val="DCF"/>
    </sheetNames>
    <sheetDataSet>
      <sheetData sheetId="0"/>
      <sheetData sheetId="1">
        <row r="3">
          <cell r="D3">
            <v>168.98</v>
          </cell>
        </row>
        <row r="4">
          <cell r="L4">
            <v>0.125</v>
          </cell>
        </row>
        <row r="14">
          <cell r="H14">
            <v>14337.911749999996</v>
          </cell>
          <cell r="I14">
            <v>20499.408304609384</v>
          </cell>
          <cell r="J14">
            <v>26995.82725197696</v>
          </cell>
          <cell r="K14">
            <v>32449.042622655747</v>
          </cell>
          <cell r="L14">
            <v>35249.096508313989</v>
          </cell>
        </row>
        <row r="15">
          <cell r="G15">
            <v>-236</v>
          </cell>
        </row>
        <row r="18">
          <cell r="G18">
            <v>9941</v>
          </cell>
        </row>
        <row r="19">
          <cell r="G19">
            <v>-189</v>
          </cell>
        </row>
        <row r="83">
          <cell r="H83">
            <v>1733.9970374999996</v>
          </cell>
          <cell r="I83">
            <v>2050.2049434843752</v>
          </cell>
          <cell r="J83">
            <v>2417.1113479734377</v>
          </cell>
          <cell r="K83">
            <v>2431.9110473107949</v>
          </cell>
          <cell r="L83">
            <v>2399.3195934598671</v>
          </cell>
        </row>
        <row r="98">
          <cell r="G98">
            <v>21208</v>
          </cell>
        </row>
        <row r="113">
          <cell r="G113">
            <v>0</v>
          </cell>
        </row>
        <row r="114">
          <cell r="G114">
            <v>10946</v>
          </cell>
        </row>
        <row r="196">
          <cell r="H196">
            <v>-2255.4454945205453</v>
          </cell>
          <cell r="I196">
            <v>-1588.8013773582525</v>
          </cell>
          <cell r="J196">
            <v>-1326.8225026684586</v>
          </cell>
          <cell r="K196">
            <v>-702.61962738922375</v>
          </cell>
          <cell r="L196">
            <v>192.67880363530821</v>
          </cell>
        </row>
        <row r="201">
          <cell r="H201">
            <v>-1767.6877499999994</v>
          </cell>
          <cell r="I201">
            <v>-2270.2927764062501</v>
          </cell>
          <cell r="J201">
            <v>-2682.8151306312498</v>
          </cell>
          <cell r="K201">
            <v>-2888.6388091384929</v>
          </cell>
          <cell r="L201">
            <v>-2803.9054040704314</v>
          </cell>
        </row>
        <row r="255">
          <cell r="G255">
            <v>2535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97847-2371-43E1-B0E9-9B39BB546B0F}">
  <dimension ref="A2:L258"/>
  <sheetViews>
    <sheetView tabSelected="1" workbookViewId="0">
      <selection activeCell="B5" sqref="B5"/>
    </sheetView>
  </sheetViews>
  <sheetFormatPr defaultColWidth="10" defaultRowHeight="14.25" x14ac:dyDescent="0.2"/>
  <cols>
    <col min="1" max="1" width="1.7109375" style="1" bestFit="1" customWidth="1"/>
    <col min="2" max="4" width="10.7109375" style="13" customWidth="1"/>
    <col min="5" max="12" width="10.7109375" style="3" customWidth="1"/>
    <col min="13" max="16384" width="10" style="3"/>
  </cols>
  <sheetData>
    <row r="2" spans="1:12" s="4" customFormat="1" ht="13.15" customHeight="1" x14ac:dyDescent="0.2">
      <c r="A2" s="1" t="s">
        <v>0</v>
      </c>
      <c r="B2" s="2" t="s">
        <v>1</v>
      </c>
      <c r="C2" s="2"/>
      <c r="D2" s="2"/>
      <c r="E2" s="3"/>
      <c r="F2" s="3"/>
      <c r="G2" s="3"/>
      <c r="H2" s="3"/>
      <c r="I2" s="3"/>
      <c r="J2" s="3"/>
      <c r="K2" s="3"/>
      <c r="L2" s="3"/>
    </row>
    <row r="3" spans="1:12" ht="13.15" customHeight="1" x14ac:dyDescent="0.2">
      <c r="B3" s="5" t="s">
        <v>2</v>
      </c>
      <c r="C3" s="5"/>
      <c r="D3" s="6">
        <v>168.98</v>
      </c>
      <c r="E3" s="7"/>
      <c r="F3" s="8" t="s">
        <v>3</v>
      </c>
      <c r="G3" s="7"/>
      <c r="H3" s="9">
        <v>1</v>
      </c>
      <c r="I3" s="7"/>
      <c r="J3" s="7" t="s">
        <v>4</v>
      </c>
      <c r="K3" s="7"/>
      <c r="L3" s="10">
        <v>1</v>
      </c>
    </row>
    <row r="4" spans="1:12" ht="13.15" customHeight="1" x14ac:dyDescent="0.2">
      <c r="B4" s="11" t="s">
        <v>5</v>
      </c>
      <c r="C4" s="11"/>
      <c r="D4" s="12">
        <v>44704</v>
      </c>
      <c r="F4" s="13" t="s">
        <v>6</v>
      </c>
      <c r="H4" s="14" t="str">
        <f>+IF(H3=1,"Base",IF(H3=2,"Upside",IF(H3=3,"Downside","–")))</f>
        <v>Base</v>
      </c>
      <c r="J4" s="13" t="s">
        <v>7</v>
      </c>
      <c r="L4" s="15">
        <v>0.125</v>
      </c>
    </row>
    <row r="5" spans="1:12" ht="13.15" customHeight="1" x14ac:dyDescent="0.2">
      <c r="B5" s="11"/>
      <c r="C5" s="11"/>
      <c r="D5" s="3"/>
      <c r="F5" s="13"/>
      <c r="G5" s="13"/>
    </row>
    <row r="6" spans="1:12" ht="13.15" customHeight="1" x14ac:dyDescent="0.2">
      <c r="A6" s="1" t="s">
        <v>0</v>
      </c>
      <c r="B6" s="16" t="s">
        <v>8</v>
      </c>
      <c r="C6" s="16"/>
      <c r="D6" s="16"/>
      <c r="E6" s="17"/>
      <c r="F6" s="17"/>
      <c r="G6" s="17"/>
      <c r="H6" s="17"/>
      <c r="I6" s="17"/>
      <c r="J6" s="17"/>
      <c r="K6" s="17"/>
      <c r="L6" s="17"/>
    </row>
    <row r="7" spans="1:12" ht="13.15" customHeight="1" x14ac:dyDescent="0.2">
      <c r="B7" s="18" t="s">
        <v>9</v>
      </c>
      <c r="C7" s="18"/>
      <c r="D7" s="18"/>
      <c r="E7" s="19">
        <v>43856</v>
      </c>
      <c r="F7" s="19">
        <f t="shared" ref="F7:L7" si="0">+EOMONTH(E7,12)</f>
        <v>44227</v>
      </c>
      <c r="G7" s="20">
        <f t="shared" si="0"/>
        <v>44592</v>
      </c>
      <c r="H7" s="21">
        <f t="shared" si="0"/>
        <v>44957</v>
      </c>
      <c r="I7" s="21">
        <f t="shared" si="0"/>
        <v>45322</v>
      </c>
      <c r="J7" s="21">
        <f t="shared" si="0"/>
        <v>45688</v>
      </c>
      <c r="K7" s="21">
        <f t="shared" si="0"/>
        <v>46053</v>
      </c>
      <c r="L7" s="21">
        <f t="shared" si="0"/>
        <v>46418</v>
      </c>
    </row>
    <row r="8" spans="1:12" ht="13.15" customHeight="1" x14ac:dyDescent="0.2">
      <c r="G8" s="22"/>
    </row>
    <row r="9" spans="1:12" s="4" customFormat="1" ht="13.15" customHeight="1" x14ac:dyDescent="0.2">
      <c r="A9" s="1"/>
      <c r="B9" s="2" t="s">
        <v>10</v>
      </c>
      <c r="C9" s="2"/>
      <c r="D9" s="2"/>
      <c r="E9" s="23">
        <f>+E55</f>
        <v>10918</v>
      </c>
      <c r="F9" s="23">
        <f t="shared" ref="F9:L9" si="1">+F55</f>
        <v>16675</v>
      </c>
      <c r="G9" s="24">
        <f t="shared" si="1"/>
        <v>26914</v>
      </c>
      <c r="H9" s="25">
        <f t="shared" ca="1" si="1"/>
        <v>39281.94999999999</v>
      </c>
      <c r="I9" s="25">
        <f t="shared" ca="1" si="1"/>
        <v>53418.653562500003</v>
      </c>
      <c r="J9" s="25">
        <f t="shared" ca="1" si="1"/>
        <v>67070.378265781255</v>
      </c>
      <c r="K9" s="25">
        <f t="shared" ca="1" si="1"/>
        <v>77030.368243693156</v>
      </c>
      <c r="L9" s="25">
        <f t="shared" ca="1" si="1"/>
        <v>80111.582973440891</v>
      </c>
    </row>
    <row r="10" spans="1:12" ht="13.15" customHeight="1" x14ac:dyDescent="0.2">
      <c r="B10" s="13" t="s">
        <v>11</v>
      </c>
      <c r="E10" s="26">
        <v>-4150</v>
      </c>
      <c r="F10" s="26">
        <v>-6279</v>
      </c>
      <c r="G10" s="27">
        <v>-9439</v>
      </c>
      <c r="H10" s="28">
        <f ca="1">-(1-H61)*H9</f>
        <v>-13748.682499999995</v>
      </c>
      <c r="I10" s="28">
        <f ca="1">-(1-I61)*I9</f>
        <v>-18229.115528203121</v>
      </c>
      <c r="J10" s="28">
        <f ca="1">-(1-J61)*J9</f>
        <v>-22300.900773372261</v>
      </c>
      <c r="K10" s="28">
        <f ca="1">-(1-K61)*K9</f>
        <v>-24938.58171889565</v>
      </c>
      <c r="L10" s="28">
        <f ca="1">-(1-L61)*L9</f>
        <v>-25235.148636633876</v>
      </c>
    </row>
    <row r="11" spans="1:12" ht="13.15" customHeight="1" x14ac:dyDescent="0.2">
      <c r="B11" s="29" t="s">
        <v>12</v>
      </c>
      <c r="C11" s="29"/>
      <c r="D11" s="29"/>
      <c r="E11" s="30">
        <f>SUM(E9:E10)</f>
        <v>6768</v>
      </c>
      <c r="F11" s="30">
        <f t="shared" ref="F11:L11" si="2">SUM(F9:F10)</f>
        <v>10396</v>
      </c>
      <c r="G11" s="31">
        <f t="shared" si="2"/>
        <v>17475</v>
      </c>
      <c r="H11" s="30">
        <f ca="1">SUM(H9:H10)</f>
        <v>25533.267499999994</v>
      </c>
      <c r="I11" s="30">
        <f t="shared" ca="1" si="2"/>
        <v>35189.538034296886</v>
      </c>
      <c r="J11" s="30">
        <f t="shared" ca="1" si="2"/>
        <v>44769.477492408994</v>
      </c>
      <c r="K11" s="30">
        <f t="shared" ca="1" si="2"/>
        <v>52091.786524797506</v>
      </c>
      <c r="L11" s="30">
        <f t="shared" ca="1" si="2"/>
        <v>54876.434336807011</v>
      </c>
    </row>
    <row r="12" spans="1:12" ht="13.15" customHeight="1" x14ac:dyDescent="0.2">
      <c r="B12" s="13" t="s">
        <v>13</v>
      </c>
      <c r="E12" s="26">
        <v>-2829</v>
      </c>
      <c r="F12" s="26">
        <v>-3924</v>
      </c>
      <c r="G12" s="27">
        <v>-5268</v>
      </c>
      <c r="H12" s="28">
        <f ca="1">-H66*H9</f>
        <v>-7856.3899999999985</v>
      </c>
      <c r="I12" s="28">
        <f ca="1">-I66*I9</f>
        <v>-10416.637444687502</v>
      </c>
      <c r="J12" s="28">
        <f ca="1">-J66*J9</f>
        <v>-12743.371870498439</v>
      </c>
      <c r="K12" s="28">
        <f ca="1">-K66*K9</f>
        <v>-14250.618125083234</v>
      </c>
      <c r="L12" s="28">
        <f ca="1">-L66*L9</f>
        <v>-14420.08493521936</v>
      </c>
    </row>
    <row r="13" spans="1:12" ht="13.15" customHeight="1" x14ac:dyDescent="0.2">
      <c r="B13" s="13" t="s">
        <v>14</v>
      </c>
      <c r="E13" s="26">
        <v>-1093</v>
      </c>
      <c r="F13" s="26">
        <v>-1940</v>
      </c>
      <c r="G13" s="27">
        <v>-2166</v>
      </c>
      <c r="H13" s="28">
        <f ca="1">-H71*H9</f>
        <v>-3338.9657499999994</v>
      </c>
      <c r="I13" s="28">
        <f ca="1">-I71*I9</f>
        <v>-4273.4922850000003</v>
      </c>
      <c r="J13" s="28">
        <f ca="1">-J71*J9</f>
        <v>-5030.2783699335941</v>
      </c>
      <c r="K13" s="28">
        <f ca="1">-K71*K9</f>
        <v>-5392.1257770585207</v>
      </c>
      <c r="L13" s="28">
        <f ca="1">-L71*L9</f>
        <v>-5207.2528932736577</v>
      </c>
    </row>
    <row r="14" spans="1:12" ht="13.15" customHeight="1" x14ac:dyDescent="0.2">
      <c r="B14" s="29" t="s">
        <v>15</v>
      </c>
      <c r="C14" s="29"/>
      <c r="D14" s="29"/>
      <c r="E14" s="30">
        <f t="shared" ref="E14:L14" si="3">SUM(E11:E13)</f>
        <v>2846</v>
      </c>
      <c r="F14" s="30">
        <f t="shared" si="3"/>
        <v>4532</v>
      </c>
      <c r="G14" s="31">
        <f t="shared" si="3"/>
        <v>10041</v>
      </c>
      <c r="H14" s="30">
        <f t="shared" ca="1" si="3"/>
        <v>14337.911749999996</v>
      </c>
      <c r="I14" s="30">
        <f t="shared" ca="1" si="3"/>
        <v>20499.408304609384</v>
      </c>
      <c r="J14" s="30">
        <f t="shared" ca="1" si="3"/>
        <v>26995.82725197696</v>
      </c>
      <c r="K14" s="30">
        <f t="shared" ca="1" si="3"/>
        <v>32449.042622655747</v>
      </c>
      <c r="L14" s="30">
        <f t="shared" ca="1" si="3"/>
        <v>35249.096508313989</v>
      </c>
    </row>
    <row r="15" spans="1:12" ht="13.15" customHeight="1" x14ac:dyDescent="0.2">
      <c r="B15" s="32" t="s">
        <v>16</v>
      </c>
      <c r="C15" s="32"/>
      <c r="D15" s="32"/>
      <c r="E15" s="26">
        <f>-52</f>
        <v>-52</v>
      </c>
      <c r="F15" s="26">
        <f>-184</f>
        <v>-184</v>
      </c>
      <c r="G15" s="27">
        <f>-236</f>
        <v>-236</v>
      </c>
      <c r="H15" s="28">
        <f ca="1">+H244</f>
        <v>-382.72689000000003</v>
      </c>
      <c r="I15" s="28">
        <f ca="1">+I244</f>
        <v>-381.96067000000005</v>
      </c>
      <c r="J15" s="28">
        <f ca="1">+J244</f>
        <v>-381.19445000000007</v>
      </c>
      <c r="K15" s="28">
        <f ca="1">+K244</f>
        <v>-380.42823000000004</v>
      </c>
      <c r="L15" s="28">
        <f ca="1">+L244</f>
        <v>-379.66201000000007</v>
      </c>
    </row>
    <row r="16" spans="1:12" ht="13.15" customHeight="1" x14ac:dyDescent="0.2">
      <c r="B16" s="32" t="s">
        <v>17</v>
      </c>
      <c r="C16" s="32"/>
      <c r="D16" s="32"/>
      <c r="E16" s="26">
        <v>178</v>
      </c>
      <c r="F16" s="26">
        <v>57</v>
      </c>
      <c r="G16" s="27">
        <v>29</v>
      </c>
      <c r="H16" s="28">
        <f ca="1">+H248</f>
        <v>27.625336451304008</v>
      </c>
      <c r="I16" s="28">
        <f ca="1">+I248</f>
        <v>43.775844977756151</v>
      </c>
      <c r="J16" s="28">
        <f ca="1">+J248</f>
        <v>66.481379988906653</v>
      </c>
      <c r="K16" s="28">
        <f ca="1">+K248</f>
        <v>95.138320467401499</v>
      </c>
      <c r="L16" s="28">
        <f ca="1">+L248</f>
        <v>128.08514027546016</v>
      </c>
    </row>
    <row r="17" spans="1:12" ht="13.15" customHeight="1" x14ac:dyDescent="0.2">
      <c r="B17" s="32" t="s">
        <v>18</v>
      </c>
      <c r="C17" s="32"/>
      <c r="D17" s="32"/>
      <c r="E17" s="26">
        <v>-2</v>
      </c>
      <c r="F17" s="26">
        <v>4</v>
      </c>
      <c r="G17" s="27">
        <v>107</v>
      </c>
      <c r="H17" s="26">
        <v>0</v>
      </c>
      <c r="I17" s="28">
        <f>+H17</f>
        <v>0</v>
      </c>
      <c r="J17" s="28">
        <f t="shared" ref="J17:L17" si="4">+I17</f>
        <v>0</v>
      </c>
      <c r="K17" s="28">
        <f t="shared" si="4"/>
        <v>0</v>
      </c>
      <c r="L17" s="28">
        <f t="shared" si="4"/>
        <v>0</v>
      </c>
    </row>
    <row r="18" spans="1:12" ht="13.15" customHeight="1" x14ac:dyDescent="0.2">
      <c r="B18" s="29" t="s">
        <v>19</v>
      </c>
      <c r="C18" s="29"/>
      <c r="D18" s="29"/>
      <c r="E18" s="30">
        <f>SUM(E14:E17)</f>
        <v>2970</v>
      </c>
      <c r="F18" s="30">
        <f t="shared" ref="F18:L18" si="5">SUM(F14:F17)</f>
        <v>4409</v>
      </c>
      <c r="G18" s="31">
        <f t="shared" si="5"/>
        <v>9941</v>
      </c>
      <c r="H18" s="30">
        <f ca="1">SUM(H14:H17)</f>
        <v>13982.810196451299</v>
      </c>
      <c r="I18" s="30">
        <f t="shared" ca="1" si="5"/>
        <v>20161.223479587141</v>
      </c>
      <c r="J18" s="30">
        <f t="shared" ca="1" si="5"/>
        <v>26681.114181965866</v>
      </c>
      <c r="K18" s="30">
        <f t="shared" ca="1" si="5"/>
        <v>32163.752713123147</v>
      </c>
      <c r="L18" s="30">
        <f t="shared" ca="1" si="5"/>
        <v>34997.519638589452</v>
      </c>
    </row>
    <row r="19" spans="1:12" ht="13.15" customHeight="1" x14ac:dyDescent="0.2">
      <c r="B19" s="32" t="s">
        <v>20</v>
      </c>
      <c r="C19" s="32"/>
      <c r="D19" s="3"/>
      <c r="E19" s="26">
        <v>-174</v>
      </c>
      <c r="F19" s="26">
        <v>-77</v>
      </c>
      <c r="G19" s="27">
        <v>-189</v>
      </c>
      <c r="H19" s="28">
        <f ca="1">IF(H18&gt;0,-$L$4*H18,0)</f>
        <v>-1747.8512745564124</v>
      </c>
      <c r="I19" s="28">
        <f ca="1">IF(I18&gt;0,-$L$4*I18,0)</f>
        <v>-2520.1529349483926</v>
      </c>
      <c r="J19" s="28">
        <f ca="1">IF(J18&gt;0,-$L$4*J18,0)</f>
        <v>-3335.1392727457333</v>
      </c>
      <c r="K19" s="28">
        <f ca="1">IF(K18&gt;0,-$L$4*K18,0)</f>
        <v>-4020.4690891403934</v>
      </c>
      <c r="L19" s="28">
        <f ca="1">IF(L18&gt;0,-$L$4*L18,0)</f>
        <v>-4374.6899548236815</v>
      </c>
    </row>
    <row r="20" spans="1:12" ht="13.15" customHeight="1" x14ac:dyDescent="0.2">
      <c r="B20" s="29" t="s">
        <v>21</v>
      </c>
      <c r="C20" s="29"/>
      <c r="D20" s="29"/>
      <c r="E20" s="30">
        <f>SUM(E18:E19)</f>
        <v>2796</v>
      </c>
      <c r="F20" s="30">
        <f t="shared" ref="F20:L20" si="6">SUM(F18:F19)</f>
        <v>4332</v>
      </c>
      <c r="G20" s="31">
        <f t="shared" si="6"/>
        <v>9752</v>
      </c>
      <c r="H20" s="30">
        <f t="shared" ca="1" si="6"/>
        <v>12234.958921894886</v>
      </c>
      <c r="I20" s="30">
        <f t="shared" ca="1" si="6"/>
        <v>17641.070544638747</v>
      </c>
      <c r="J20" s="30">
        <f t="shared" ca="1" si="6"/>
        <v>23345.974909220131</v>
      </c>
      <c r="K20" s="30">
        <f t="shared" ca="1" si="6"/>
        <v>28143.283623982752</v>
      </c>
      <c r="L20" s="30">
        <f t="shared" ca="1" si="6"/>
        <v>30622.829683765769</v>
      </c>
    </row>
    <row r="21" spans="1:12" ht="13.15" customHeight="1" x14ac:dyDescent="0.2">
      <c r="B21" s="32"/>
      <c r="C21" s="32"/>
      <c r="D21" s="32"/>
      <c r="E21" s="28"/>
      <c r="F21" s="28"/>
      <c r="G21" s="33"/>
      <c r="H21" s="28"/>
      <c r="I21" s="28"/>
      <c r="J21" s="28"/>
      <c r="K21" s="28"/>
      <c r="L21" s="28"/>
    </row>
    <row r="22" spans="1:12" ht="13.15" customHeight="1" x14ac:dyDescent="0.2">
      <c r="A22" s="1" t="s">
        <v>0</v>
      </c>
      <c r="B22" s="16" t="s">
        <v>22</v>
      </c>
      <c r="C22" s="16"/>
      <c r="D22" s="16"/>
      <c r="E22" s="17"/>
      <c r="F22" s="17"/>
      <c r="G22" s="17"/>
      <c r="H22" s="17"/>
      <c r="I22" s="17"/>
      <c r="J22" s="17"/>
      <c r="K22" s="17"/>
      <c r="L22" s="17"/>
    </row>
    <row r="23" spans="1:12" ht="13.15" customHeight="1" x14ac:dyDescent="0.2">
      <c r="B23" s="18" t="s">
        <v>9</v>
      </c>
      <c r="C23" s="18"/>
      <c r="D23" s="18"/>
      <c r="E23" s="19">
        <f>+E$7</f>
        <v>43856</v>
      </c>
      <c r="F23" s="19">
        <f t="shared" ref="F23:L23" si="7">+F$7</f>
        <v>44227</v>
      </c>
      <c r="G23" s="20">
        <f t="shared" si="7"/>
        <v>44592</v>
      </c>
      <c r="H23" s="21">
        <f t="shared" si="7"/>
        <v>44957</v>
      </c>
      <c r="I23" s="21">
        <f t="shared" si="7"/>
        <v>45322</v>
      </c>
      <c r="J23" s="21">
        <f t="shared" si="7"/>
        <v>45688</v>
      </c>
      <c r="K23" s="21">
        <f t="shared" si="7"/>
        <v>46053</v>
      </c>
      <c r="L23" s="21">
        <f t="shared" si="7"/>
        <v>46418</v>
      </c>
    </row>
    <row r="24" spans="1:12" ht="13.15" customHeight="1" x14ac:dyDescent="0.2">
      <c r="G24" s="22"/>
    </row>
    <row r="25" spans="1:12" s="4" customFormat="1" ht="13.15" customHeight="1" x14ac:dyDescent="0.2">
      <c r="A25" s="1"/>
      <c r="B25" s="2" t="s">
        <v>23</v>
      </c>
      <c r="C25" s="2"/>
      <c r="D25" s="2"/>
      <c r="E25" s="34">
        <v>5518</v>
      </c>
      <c r="F25" s="34">
        <v>7759</v>
      </c>
      <c r="G25" s="35">
        <v>12462</v>
      </c>
      <c r="H25" s="25">
        <f ca="1">+G25*(1+H26)</f>
        <v>18069.899999999998</v>
      </c>
      <c r="I25" s="25">
        <f t="shared" ref="I25:L25" ca="1" si="8">+H25*(1+I26)</f>
        <v>24349.19025</v>
      </c>
      <c r="J25" s="25">
        <f t="shared" ca="1" si="8"/>
        <v>30314.741861250001</v>
      </c>
      <c r="K25" s="25">
        <f t="shared" ca="1" si="8"/>
        <v>34634.592576478128</v>
      </c>
      <c r="L25" s="25">
        <f t="shared" ca="1" si="8"/>
        <v>36019.976279537252</v>
      </c>
    </row>
    <row r="26" spans="1:12" ht="13.15" customHeight="1" x14ac:dyDescent="0.2">
      <c r="B26" s="18" t="s">
        <v>24</v>
      </c>
      <c r="C26" s="18"/>
      <c r="D26" s="18"/>
      <c r="E26" s="36" t="str">
        <f>+IFERROR(E25/#REF!-1,"NA")</f>
        <v>NA</v>
      </c>
      <c r="F26" s="36">
        <f t="shared" ref="F26:G26" si="9">+IFERROR(F25/E25-1,"NA")</f>
        <v>0.40612540775643358</v>
      </c>
      <c r="G26" s="37">
        <f t="shared" si="9"/>
        <v>0.60613481118700863</v>
      </c>
      <c r="H26" s="36">
        <f ca="1">+OFFSET(H26,$H$3,0)</f>
        <v>0.45</v>
      </c>
      <c r="I26" s="36">
        <f ca="1">+OFFSET(I26,$H$3,0)</f>
        <v>0.34750000000000003</v>
      </c>
      <c r="J26" s="36">
        <f ca="1">+OFFSET(J26,$H$3,0)</f>
        <v>0.24500000000000002</v>
      </c>
      <c r="K26" s="36">
        <f ca="1">+OFFSET(K26,$H$3,0)</f>
        <v>0.14250000000000002</v>
      </c>
      <c r="L26" s="36">
        <f ca="1">+OFFSET(L26,$H$3,0)</f>
        <v>0.04</v>
      </c>
    </row>
    <row r="27" spans="1:12" ht="13.15" customHeight="1" x14ac:dyDescent="0.2">
      <c r="B27" s="32" t="s">
        <v>26</v>
      </c>
      <c r="C27" s="32"/>
      <c r="D27" s="32"/>
      <c r="E27" s="28"/>
      <c r="F27" s="28"/>
      <c r="G27" s="38"/>
      <c r="H27" s="39">
        <v>0.45</v>
      </c>
      <c r="I27" s="40">
        <f ca="1">+H27-($H27-$L27)/COUNTA($H27:$K27)</f>
        <v>0.34750000000000003</v>
      </c>
      <c r="J27" s="40">
        <f t="shared" ref="J27:K27" ca="1" si="10">+I27-($H27-$L27)/COUNTA($H27:$K27)</f>
        <v>0.24500000000000002</v>
      </c>
      <c r="K27" s="40">
        <f t="shared" ca="1" si="10"/>
        <v>0.14250000000000002</v>
      </c>
      <c r="L27" s="41">
        <v>0.04</v>
      </c>
    </row>
    <row r="28" spans="1:12" ht="13.15" customHeight="1" x14ac:dyDescent="0.2">
      <c r="B28" s="32" t="s">
        <v>27</v>
      </c>
      <c r="C28" s="32"/>
      <c r="D28" s="32"/>
      <c r="E28" s="28"/>
      <c r="F28" s="28"/>
      <c r="G28" s="38"/>
      <c r="H28" s="42">
        <v>0.6</v>
      </c>
      <c r="I28" s="40">
        <f t="shared" ref="I28:K29" ca="1" si="11">+H28-($H28-$L28)/COUNTA($H28:$K28)</f>
        <v>0.45999999999999996</v>
      </c>
      <c r="J28" s="40">
        <f t="shared" ca="1" si="11"/>
        <v>0.31999999999999995</v>
      </c>
      <c r="K28" s="40">
        <f t="shared" ca="1" si="11"/>
        <v>0.17999999999999997</v>
      </c>
      <c r="L28" s="41">
        <v>0.04</v>
      </c>
    </row>
    <row r="29" spans="1:12" ht="13.15" customHeight="1" x14ac:dyDescent="0.2">
      <c r="B29" s="32" t="s">
        <v>28</v>
      </c>
      <c r="C29" s="32"/>
      <c r="D29" s="32"/>
      <c r="E29" s="28"/>
      <c r="F29" s="28"/>
      <c r="G29" s="38"/>
      <c r="H29" s="42">
        <v>0.25</v>
      </c>
      <c r="I29" s="40">
        <f t="shared" ca="1" si="11"/>
        <v>0.19750000000000001</v>
      </c>
      <c r="J29" s="40">
        <f t="shared" ca="1" si="11"/>
        <v>0.14500000000000002</v>
      </c>
      <c r="K29" s="40">
        <f t="shared" ca="1" si="11"/>
        <v>9.2500000000000027E-2</v>
      </c>
      <c r="L29" s="41">
        <v>0.04</v>
      </c>
    </row>
    <row r="30" spans="1:12" ht="13.15" customHeight="1" x14ac:dyDescent="0.2">
      <c r="B30" s="32"/>
      <c r="C30" s="32"/>
      <c r="D30" s="32"/>
      <c r="E30" s="28"/>
      <c r="F30" s="28"/>
      <c r="G30" s="38"/>
      <c r="H30" s="26"/>
      <c r="I30" s="26"/>
      <c r="J30" s="26"/>
      <c r="K30" s="26"/>
      <c r="L30" s="26"/>
    </row>
    <row r="31" spans="1:12" s="4" customFormat="1" ht="13.15" customHeight="1" x14ac:dyDescent="0.2">
      <c r="A31" s="1"/>
      <c r="B31" s="43" t="s">
        <v>29</v>
      </c>
      <c r="C31" s="43"/>
      <c r="D31" s="43"/>
      <c r="E31" s="34">
        <v>2983</v>
      </c>
      <c r="F31" s="34">
        <v>6696</v>
      </c>
      <c r="G31" s="35">
        <v>10613</v>
      </c>
      <c r="H31" s="25">
        <f ca="1">+G31*(1+H32)</f>
        <v>15919.5</v>
      </c>
      <c r="I31" s="25">
        <f ca="1">+H31*(1+I32)</f>
        <v>22048.5075</v>
      </c>
      <c r="J31" s="25">
        <f ca="1">+I31*(1+J32)</f>
        <v>28001.604524999999</v>
      </c>
      <c r="K31" s="25">
        <f ca="1">+J31*(1+K32)</f>
        <v>32341.853226374998</v>
      </c>
      <c r="L31" s="25">
        <f ca="1">+K31*(1+L32)</f>
        <v>33635.52735543</v>
      </c>
    </row>
    <row r="32" spans="1:12" ht="13.15" customHeight="1" x14ac:dyDescent="0.2">
      <c r="B32" s="18" t="s">
        <v>30</v>
      </c>
      <c r="C32" s="18"/>
      <c r="D32" s="18"/>
      <c r="E32" s="36" t="str">
        <f>+IFERROR(E31/#REF!-1,"NA")</f>
        <v>NA</v>
      </c>
      <c r="F32" s="36">
        <f>+IFERROR(F31/E31-1,"NA")</f>
        <v>1.2447200804559166</v>
      </c>
      <c r="G32" s="37">
        <f>+IFERROR(G31/F31-1,"NA")</f>
        <v>0.5849761051373954</v>
      </c>
      <c r="H32" s="36">
        <f ca="1">+OFFSET(H32,$H$3,0)</f>
        <v>0.5</v>
      </c>
      <c r="I32" s="36">
        <f ca="1">+OFFSET(I32,$H$3,0)</f>
        <v>0.38500000000000001</v>
      </c>
      <c r="J32" s="36">
        <f ca="1">+OFFSET(J32,$H$3,0)</f>
        <v>0.27</v>
      </c>
      <c r="K32" s="36">
        <f ca="1">+OFFSET(K32,$H$3,0)</f>
        <v>0.15500000000000003</v>
      </c>
      <c r="L32" s="36">
        <f ca="1">+OFFSET(L32,$H$3,0)</f>
        <v>0.04</v>
      </c>
    </row>
    <row r="33" spans="1:12" ht="13.15" customHeight="1" x14ac:dyDescent="0.2">
      <c r="B33" s="32" t="s">
        <v>26</v>
      </c>
      <c r="C33" s="32"/>
      <c r="D33" s="32"/>
      <c r="E33" s="28"/>
      <c r="F33" s="28"/>
      <c r="G33" s="38"/>
      <c r="H33" s="39">
        <v>0.5</v>
      </c>
      <c r="I33" s="40">
        <f ca="1">+H33-($H33-$L33)/COUNTA($H33:$K33)</f>
        <v>0.38500000000000001</v>
      </c>
      <c r="J33" s="40">
        <f t="shared" ref="J33:K33" ca="1" si="12">+I33-($H33-$L33)/COUNTA($H33:$K33)</f>
        <v>0.27</v>
      </c>
      <c r="K33" s="40">
        <f t="shared" ca="1" si="12"/>
        <v>0.15500000000000003</v>
      </c>
      <c r="L33" s="41">
        <v>0.04</v>
      </c>
    </row>
    <row r="34" spans="1:12" ht="13.15" customHeight="1" x14ac:dyDescent="0.2">
      <c r="B34" s="32" t="s">
        <v>27</v>
      </c>
      <c r="C34" s="32"/>
      <c r="D34" s="32"/>
      <c r="E34" s="28"/>
      <c r="F34" s="28"/>
      <c r="G34" s="38"/>
      <c r="H34" s="42">
        <v>0.65</v>
      </c>
      <c r="I34" s="40">
        <f t="shared" ref="I34:K35" ca="1" si="13">+H34-($H34-$L34)/COUNTA($H34:$K34)</f>
        <v>0.49750000000000005</v>
      </c>
      <c r="J34" s="40">
        <f t="shared" ca="1" si="13"/>
        <v>0.34500000000000008</v>
      </c>
      <c r="K34" s="40">
        <f t="shared" ca="1" si="13"/>
        <v>0.19250000000000009</v>
      </c>
      <c r="L34" s="41">
        <v>0.04</v>
      </c>
    </row>
    <row r="35" spans="1:12" ht="13.15" customHeight="1" x14ac:dyDescent="0.2">
      <c r="B35" s="32" t="s">
        <v>28</v>
      </c>
      <c r="C35" s="32"/>
      <c r="D35" s="32"/>
      <c r="E35" s="28"/>
      <c r="F35" s="28"/>
      <c r="G35" s="38"/>
      <c r="H35" s="42">
        <v>0.35</v>
      </c>
      <c r="I35" s="40">
        <f t="shared" ca="1" si="13"/>
        <v>0.27249999999999996</v>
      </c>
      <c r="J35" s="40">
        <f t="shared" ca="1" si="13"/>
        <v>0.19499999999999995</v>
      </c>
      <c r="K35" s="40">
        <f t="shared" ca="1" si="13"/>
        <v>0.11749999999999995</v>
      </c>
      <c r="L35" s="41">
        <v>0.04</v>
      </c>
    </row>
    <row r="36" spans="1:12" ht="13.15" customHeight="1" x14ac:dyDescent="0.2">
      <c r="B36" s="32"/>
      <c r="C36" s="32"/>
      <c r="D36" s="32"/>
      <c r="E36" s="28"/>
      <c r="F36" s="28"/>
      <c r="G36" s="38"/>
      <c r="H36" s="26"/>
      <c r="I36" s="26"/>
      <c r="J36" s="26"/>
      <c r="K36" s="26"/>
      <c r="L36" s="26"/>
    </row>
    <row r="37" spans="1:12" s="4" customFormat="1" ht="13.15" customHeight="1" x14ac:dyDescent="0.2">
      <c r="A37" s="1"/>
      <c r="B37" s="43" t="s">
        <v>31</v>
      </c>
      <c r="C37" s="43"/>
      <c r="D37" s="43"/>
      <c r="E37" s="34">
        <v>1212</v>
      </c>
      <c r="F37" s="34">
        <v>1053</v>
      </c>
      <c r="G37" s="35">
        <v>2111</v>
      </c>
      <c r="H37" s="25">
        <f ca="1">+G37*(1+H38)</f>
        <v>3377.6000000000004</v>
      </c>
      <c r="I37" s="25">
        <f ca="1">+H37*(1+I38)</f>
        <v>4931.2960000000003</v>
      </c>
      <c r="J37" s="25">
        <f ca="1">+I37*(1+J38)</f>
        <v>6509.3107199999995</v>
      </c>
      <c r="K37" s="25">
        <f ca="1">+J37*(1+K38)</f>
        <v>7680.9866495999986</v>
      </c>
      <c r="L37" s="25">
        <f ca="1">+K37*(1+L38)</f>
        <v>7988.2261155839988</v>
      </c>
    </row>
    <row r="38" spans="1:12" ht="13.15" customHeight="1" x14ac:dyDescent="0.2">
      <c r="B38" s="18" t="s">
        <v>32</v>
      </c>
      <c r="C38" s="18"/>
      <c r="D38" s="18"/>
      <c r="E38" s="36" t="str">
        <f>+IFERROR(E37/#REF!-1,"NA")</f>
        <v>NA</v>
      </c>
      <c r="F38" s="36">
        <f>+IFERROR(F37/E37-1,"NA")</f>
        <v>-0.13118811881188119</v>
      </c>
      <c r="G38" s="37">
        <f>+IFERROR(G37/F37-1,"NA")</f>
        <v>1.0047483380816713</v>
      </c>
      <c r="H38" s="36">
        <f ca="1">+OFFSET(H38,$H$3,0)</f>
        <v>0.6</v>
      </c>
      <c r="I38" s="36">
        <f ca="1">+OFFSET(I38,$H$3,0)</f>
        <v>0.45999999999999996</v>
      </c>
      <c r="J38" s="36">
        <f ca="1">+OFFSET(J38,$H$3,0)</f>
        <v>0.31999999999999995</v>
      </c>
      <c r="K38" s="36">
        <f ca="1">+OFFSET(K38,$H$3,0)</f>
        <v>0.17999999999999997</v>
      </c>
      <c r="L38" s="36">
        <f ca="1">+OFFSET(L38,$H$3,0)</f>
        <v>0.04</v>
      </c>
    </row>
    <row r="39" spans="1:12" ht="13.15" customHeight="1" x14ac:dyDescent="0.2">
      <c r="B39" s="32" t="s">
        <v>26</v>
      </c>
      <c r="C39" s="32"/>
      <c r="D39" s="32"/>
      <c r="E39" s="28"/>
      <c r="F39" s="28"/>
      <c r="G39" s="38"/>
      <c r="H39" s="39">
        <v>0.6</v>
      </c>
      <c r="I39" s="40">
        <f ca="1">+H39-($H39-$L39)/COUNTA($H39:$K39)</f>
        <v>0.45999999999999996</v>
      </c>
      <c r="J39" s="40">
        <f t="shared" ref="J39:K39" ca="1" si="14">+I39-($H39-$L39)/COUNTA($H39:$K39)</f>
        <v>0.31999999999999995</v>
      </c>
      <c r="K39" s="40">
        <f t="shared" ca="1" si="14"/>
        <v>0.17999999999999997</v>
      </c>
      <c r="L39" s="41">
        <v>0.04</v>
      </c>
    </row>
    <row r="40" spans="1:12" ht="13.15" customHeight="1" x14ac:dyDescent="0.2">
      <c r="B40" s="32" t="s">
        <v>27</v>
      </c>
      <c r="C40" s="32"/>
      <c r="D40" s="32"/>
      <c r="E40" s="28"/>
      <c r="F40" s="28"/>
      <c r="G40" s="38"/>
      <c r="H40" s="42">
        <v>0.8</v>
      </c>
      <c r="I40" s="40">
        <f t="shared" ref="I40:K41" ca="1" si="15">+H40-($H40-$L40)/COUNTA($H40:$K40)</f>
        <v>0.6100000000000001</v>
      </c>
      <c r="J40" s="40">
        <f t="shared" ca="1" si="15"/>
        <v>0.4200000000000001</v>
      </c>
      <c r="K40" s="40">
        <f t="shared" ca="1" si="15"/>
        <v>0.23000000000000009</v>
      </c>
      <c r="L40" s="41">
        <v>0.04</v>
      </c>
    </row>
    <row r="41" spans="1:12" ht="13.15" customHeight="1" x14ac:dyDescent="0.2">
      <c r="B41" s="32" t="s">
        <v>28</v>
      </c>
      <c r="C41" s="32"/>
      <c r="D41" s="32"/>
      <c r="E41" s="28"/>
      <c r="F41" s="28"/>
      <c r="G41" s="38"/>
      <c r="H41" s="42">
        <v>0.4</v>
      </c>
      <c r="I41" s="40">
        <f t="shared" ca="1" si="15"/>
        <v>0.31</v>
      </c>
      <c r="J41" s="40">
        <f t="shared" ca="1" si="15"/>
        <v>0.21999999999999997</v>
      </c>
      <c r="K41" s="40">
        <f t="shared" ca="1" si="15"/>
        <v>0.12999999999999995</v>
      </c>
      <c r="L41" s="41">
        <v>0.04</v>
      </c>
    </row>
    <row r="42" spans="1:12" ht="13.15" customHeight="1" x14ac:dyDescent="0.2">
      <c r="B42" s="32"/>
      <c r="C42" s="32"/>
      <c r="D42" s="32"/>
      <c r="E42" s="28"/>
      <c r="F42" s="28"/>
      <c r="G42" s="38"/>
      <c r="H42" s="26"/>
      <c r="I42" s="26"/>
      <c r="J42" s="26"/>
      <c r="K42" s="26"/>
      <c r="L42" s="26"/>
    </row>
    <row r="43" spans="1:12" s="4" customFormat="1" ht="13.15" customHeight="1" x14ac:dyDescent="0.2">
      <c r="A43" s="1"/>
      <c r="B43" s="43" t="s">
        <v>33</v>
      </c>
      <c r="C43" s="43"/>
      <c r="D43" s="43"/>
      <c r="E43" s="34">
        <v>700</v>
      </c>
      <c r="F43" s="34">
        <v>536</v>
      </c>
      <c r="G43" s="35">
        <v>566</v>
      </c>
      <c r="H43" s="25">
        <f ca="1">+G43*(1+H44)</f>
        <v>636.75</v>
      </c>
      <c r="I43" s="25">
        <f ca="1">+H43*(1+I44)</f>
        <v>702.81281249999995</v>
      </c>
      <c r="J43" s="25">
        <f ca="1">+I43*(1+J44)</f>
        <v>760.79486953125001</v>
      </c>
      <c r="K43" s="25">
        <f ca="1">+J43*(1+K44)</f>
        <v>807.3935552900391</v>
      </c>
      <c r="L43" s="25">
        <f ca="1">+K43*(1+L44)</f>
        <v>839.68929750164068</v>
      </c>
    </row>
    <row r="44" spans="1:12" ht="13.15" customHeight="1" x14ac:dyDescent="0.2">
      <c r="B44" s="18" t="s">
        <v>34</v>
      </c>
      <c r="C44" s="18"/>
      <c r="D44" s="18"/>
      <c r="E44" s="36" t="str">
        <f>+IFERROR(E43/#REF!-1,"NA")</f>
        <v>NA</v>
      </c>
      <c r="F44" s="36">
        <f>+IFERROR(F43/E43-1,"NA")</f>
        <v>-0.23428571428571432</v>
      </c>
      <c r="G44" s="37">
        <f>+IFERROR(G43/F43-1,"NA")</f>
        <v>5.5970149253731449E-2</v>
      </c>
      <c r="H44" s="36">
        <f ca="1">+OFFSET(H44,$H$3,0)</f>
        <v>0.125</v>
      </c>
      <c r="I44" s="36">
        <f ca="1">+OFFSET(I44,$H$3,0)</f>
        <v>0.10375000000000001</v>
      </c>
      <c r="J44" s="36">
        <f ca="1">+OFFSET(J44,$H$3,0)</f>
        <v>8.2500000000000018E-2</v>
      </c>
      <c r="K44" s="36">
        <f ca="1">+OFFSET(K44,$H$3,0)</f>
        <v>6.125000000000002E-2</v>
      </c>
      <c r="L44" s="36">
        <f ca="1">+OFFSET(L44,$H$3,0)</f>
        <v>0.04</v>
      </c>
    </row>
    <row r="45" spans="1:12" ht="13.15" customHeight="1" x14ac:dyDescent="0.2">
      <c r="B45" s="32" t="s">
        <v>26</v>
      </c>
      <c r="C45" s="32"/>
      <c r="D45" s="32"/>
      <c r="E45" s="28"/>
      <c r="F45" s="28"/>
      <c r="G45" s="38"/>
      <c r="H45" s="39">
        <v>0.125</v>
      </c>
      <c r="I45" s="40">
        <f ca="1">+H45-($H45-$L45)/COUNTA($H45:$K45)</f>
        <v>0.10375000000000001</v>
      </c>
      <c r="J45" s="40">
        <f t="shared" ref="J45:K45" ca="1" si="16">+I45-($H45-$L45)/COUNTA($H45:$K45)</f>
        <v>8.2500000000000018E-2</v>
      </c>
      <c r="K45" s="40">
        <f t="shared" ca="1" si="16"/>
        <v>6.125000000000002E-2</v>
      </c>
      <c r="L45" s="41">
        <v>0.04</v>
      </c>
    </row>
    <row r="46" spans="1:12" ht="13.15" customHeight="1" x14ac:dyDescent="0.2">
      <c r="B46" s="32" t="s">
        <v>27</v>
      </c>
      <c r="C46" s="32"/>
      <c r="D46" s="32"/>
      <c r="E46" s="28"/>
      <c r="F46" s="28"/>
      <c r="G46" s="38"/>
      <c r="H46" s="42">
        <v>0.2</v>
      </c>
      <c r="I46" s="40">
        <f t="shared" ref="I46:K47" ca="1" si="17">+H46-($H46-$L46)/COUNTA($H46:$K46)</f>
        <v>0.16</v>
      </c>
      <c r="J46" s="40">
        <f t="shared" ca="1" si="17"/>
        <v>0.12</v>
      </c>
      <c r="K46" s="40">
        <f t="shared" ca="1" si="17"/>
        <v>7.9999999999999988E-2</v>
      </c>
      <c r="L46" s="41">
        <v>0.04</v>
      </c>
    </row>
    <row r="47" spans="1:12" ht="13.15" customHeight="1" x14ac:dyDescent="0.2">
      <c r="B47" s="32" t="s">
        <v>28</v>
      </c>
      <c r="C47" s="32"/>
      <c r="D47" s="32"/>
      <c r="E47" s="28"/>
      <c r="F47" s="28"/>
      <c r="G47" s="38"/>
      <c r="H47" s="42">
        <v>0.05</v>
      </c>
      <c r="I47" s="40">
        <f t="shared" ca="1" si="17"/>
        <v>4.7500000000000001E-2</v>
      </c>
      <c r="J47" s="40">
        <f t="shared" ca="1" si="17"/>
        <v>4.4999999999999998E-2</v>
      </c>
      <c r="K47" s="40">
        <f t="shared" ca="1" si="17"/>
        <v>4.2499999999999996E-2</v>
      </c>
      <c r="L47" s="41">
        <v>0.04</v>
      </c>
    </row>
    <row r="48" spans="1:12" ht="13.15" customHeight="1" x14ac:dyDescent="0.2">
      <c r="B48" s="32"/>
      <c r="C48" s="32"/>
      <c r="D48" s="32"/>
      <c r="E48" s="28"/>
      <c r="F48" s="28"/>
      <c r="G48" s="38"/>
      <c r="H48" s="26"/>
      <c r="I48" s="26"/>
      <c r="J48" s="26"/>
      <c r="K48" s="26"/>
      <c r="L48" s="26"/>
    </row>
    <row r="49" spans="1:12" s="4" customFormat="1" ht="13.15" customHeight="1" x14ac:dyDescent="0.2">
      <c r="A49" s="1"/>
      <c r="B49" s="2" t="s">
        <v>35</v>
      </c>
      <c r="C49" s="2"/>
      <c r="D49" s="2"/>
      <c r="E49" s="34">
        <v>505</v>
      </c>
      <c r="F49" s="34">
        <v>631</v>
      </c>
      <c r="G49" s="35">
        <v>1162</v>
      </c>
      <c r="H49" s="25">
        <f ca="1">+G49*(1+H50)</f>
        <v>1278.2</v>
      </c>
      <c r="I49" s="25">
        <f ca="1">+H49*(1+I50)</f>
        <v>1386.847</v>
      </c>
      <c r="J49" s="25">
        <f ca="1">+I49*(1+J50)</f>
        <v>1483.9262900000001</v>
      </c>
      <c r="K49" s="25">
        <f ca="1">+J49*(1+K50)</f>
        <v>1565.5422359500001</v>
      </c>
      <c r="L49" s="25">
        <f ca="1">+K49*(1+L50)</f>
        <v>1628.1639253880001</v>
      </c>
    </row>
    <row r="50" spans="1:12" ht="13.15" customHeight="1" x14ac:dyDescent="0.2">
      <c r="B50" s="18" t="s">
        <v>36</v>
      </c>
      <c r="C50" s="18"/>
      <c r="D50" s="18"/>
      <c r="E50" s="36" t="str">
        <f>+IFERROR(E49/#REF!-1,"NA")</f>
        <v>NA</v>
      </c>
      <c r="F50" s="36">
        <f>+IFERROR(F49/E49-1,"NA")</f>
        <v>0.2495049504950495</v>
      </c>
      <c r="G50" s="37">
        <f>+IFERROR(G49/F49-1,"NA")</f>
        <v>0.84152139461172748</v>
      </c>
      <c r="H50" s="36">
        <f ca="1">+OFFSET(H50,$H$3,0)</f>
        <v>0.1</v>
      </c>
      <c r="I50" s="36">
        <f ca="1">+OFFSET(I50,$H$3,0)</f>
        <v>8.5000000000000006E-2</v>
      </c>
      <c r="J50" s="36">
        <f ca="1">+OFFSET(J50,$H$3,0)</f>
        <v>7.0000000000000007E-2</v>
      </c>
      <c r="K50" s="36">
        <f ca="1">+OFFSET(K50,$H$3,0)</f>
        <v>5.5000000000000007E-2</v>
      </c>
      <c r="L50" s="36">
        <f ca="1">+OFFSET(L50,$H$3,0)</f>
        <v>0.04</v>
      </c>
    </row>
    <row r="51" spans="1:12" ht="13.15" customHeight="1" x14ac:dyDescent="0.2">
      <c r="B51" s="32" t="s">
        <v>26</v>
      </c>
      <c r="C51" s="32"/>
      <c r="D51" s="32"/>
      <c r="E51" s="28"/>
      <c r="F51" s="28"/>
      <c r="G51" s="38"/>
      <c r="H51" s="39">
        <v>0.1</v>
      </c>
      <c r="I51" s="40">
        <f ca="1">+H51-($H51-$L51)/COUNTA($H51:$K51)</f>
        <v>8.5000000000000006E-2</v>
      </c>
      <c r="J51" s="40">
        <f t="shared" ref="J51:K51" ca="1" si="18">+I51-($H51-$L51)/COUNTA($H51:$K51)</f>
        <v>7.0000000000000007E-2</v>
      </c>
      <c r="K51" s="40">
        <f t="shared" ca="1" si="18"/>
        <v>5.5000000000000007E-2</v>
      </c>
      <c r="L51" s="41">
        <v>0.04</v>
      </c>
    </row>
    <row r="52" spans="1:12" ht="13.15" customHeight="1" x14ac:dyDescent="0.2">
      <c r="B52" s="32" t="s">
        <v>27</v>
      </c>
      <c r="C52" s="32"/>
      <c r="D52" s="32"/>
      <c r="E52" s="28"/>
      <c r="F52" s="28"/>
      <c r="G52" s="38"/>
      <c r="H52" s="42">
        <v>0.15</v>
      </c>
      <c r="I52" s="40">
        <f t="shared" ref="I52:K53" ca="1" si="19">+H52-($H52-$L52)/COUNTA($H52:$K52)</f>
        <v>0.1225</v>
      </c>
      <c r="J52" s="40">
        <f t="shared" ca="1" si="19"/>
        <v>9.5000000000000001E-2</v>
      </c>
      <c r="K52" s="40">
        <f t="shared" ca="1" si="19"/>
        <v>6.7500000000000004E-2</v>
      </c>
      <c r="L52" s="41">
        <v>0.04</v>
      </c>
    </row>
    <row r="53" spans="1:12" ht="13.15" customHeight="1" x14ac:dyDescent="0.2">
      <c r="B53" s="32" t="s">
        <v>28</v>
      </c>
      <c r="C53" s="32"/>
      <c r="D53" s="32"/>
      <c r="E53" s="28"/>
      <c r="F53" s="28"/>
      <c r="G53" s="38"/>
      <c r="H53" s="42">
        <v>0.05</v>
      </c>
      <c r="I53" s="40">
        <f t="shared" ca="1" si="19"/>
        <v>4.7500000000000001E-2</v>
      </c>
      <c r="J53" s="40">
        <f t="shared" ca="1" si="19"/>
        <v>4.4999999999999998E-2</v>
      </c>
      <c r="K53" s="40">
        <f t="shared" ca="1" si="19"/>
        <v>4.2499999999999996E-2</v>
      </c>
      <c r="L53" s="41">
        <v>0.04</v>
      </c>
    </row>
    <row r="54" spans="1:12" ht="13.15" customHeight="1" x14ac:dyDescent="0.2">
      <c r="B54" s="32"/>
      <c r="C54" s="32"/>
      <c r="D54" s="32"/>
      <c r="E54" s="28"/>
      <c r="F54" s="28"/>
      <c r="G54" s="38"/>
      <c r="H54" s="26"/>
      <c r="I54" s="26"/>
      <c r="J54" s="26"/>
      <c r="K54" s="26"/>
      <c r="L54" s="26"/>
    </row>
    <row r="55" spans="1:12" ht="13.15" customHeight="1" x14ac:dyDescent="0.2">
      <c r="B55" s="2" t="s">
        <v>10</v>
      </c>
      <c r="C55" s="2"/>
      <c r="D55" s="44"/>
      <c r="E55" s="25">
        <f t="shared" ref="E55:L55" si="20">+E25+E31+E37+E43+E49</f>
        <v>10918</v>
      </c>
      <c r="F55" s="25">
        <f t="shared" si="20"/>
        <v>16675</v>
      </c>
      <c r="G55" s="45">
        <f t="shared" si="20"/>
        <v>26914</v>
      </c>
      <c r="H55" s="25">
        <f t="shared" ca="1" si="20"/>
        <v>39281.94999999999</v>
      </c>
      <c r="I55" s="25">
        <f t="shared" ca="1" si="20"/>
        <v>53418.653562500003</v>
      </c>
      <c r="J55" s="25">
        <f t="shared" ca="1" si="20"/>
        <v>67070.378265781255</v>
      </c>
      <c r="K55" s="25">
        <f t="shared" ca="1" si="20"/>
        <v>77030.368243693156</v>
      </c>
      <c r="L55" s="25">
        <f t="shared" ca="1" si="20"/>
        <v>80111.582973440891</v>
      </c>
    </row>
    <row r="56" spans="1:12" ht="13.15" customHeight="1" x14ac:dyDescent="0.2">
      <c r="B56" s="18" t="s">
        <v>37</v>
      </c>
      <c r="C56" s="18"/>
      <c r="D56" s="18"/>
      <c r="E56" s="46" t="str">
        <f>+IFERROR(E55/#REF!-1,"NA")</f>
        <v>NA</v>
      </c>
      <c r="F56" s="46">
        <f>+IFERROR(F55/E55-1,"NA")</f>
        <v>0.52729437625938824</v>
      </c>
      <c r="G56" s="47">
        <f t="shared" ref="G56:L56" si="21">+IFERROR(G55/F55-1,"NA")</f>
        <v>0.61403298350824587</v>
      </c>
      <c r="H56" s="46">
        <f t="shared" ca="1" si="21"/>
        <v>0.45953592925614895</v>
      </c>
      <c r="I56" s="46">
        <f t="shared" ca="1" si="21"/>
        <v>0.35987784624999564</v>
      </c>
      <c r="J56" s="46">
        <f t="shared" ca="1" si="21"/>
        <v>0.25556100337326337</v>
      </c>
      <c r="K56" s="46">
        <f t="shared" ca="1" si="21"/>
        <v>0.14850057857797117</v>
      </c>
      <c r="L56" s="46">
        <f t="shared" ca="1" si="21"/>
        <v>4.0000000000000036E-2</v>
      </c>
    </row>
    <row r="57" spans="1:12" ht="13.15" customHeight="1" x14ac:dyDescent="0.2">
      <c r="B57" s="2"/>
      <c r="C57" s="2"/>
      <c r="D57" s="2"/>
      <c r="E57" s="48"/>
      <c r="F57" s="48"/>
      <c r="G57" s="49"/>
      <c r="H57" s="48"/>
      <c r="I57" s="48"/>
      <c r="J57" s="48"/>
      <c r="K57" s="48"/>
      <c r="L57" s="48"/>
    </row>
    <row r="58" spans="1:12" ht="13.15" customHeight="1" x14ac:dyDescent="0.2">
      <c r="A58" s="1" t="s">
        <v>0</v>
      </c>
      <c r="B58" s="16" t="s">
        <v>38</v>
      </c>
      <c r="C58" s="16"/>
      <c r="D58" s="16"/>
      <c r="E58" s="17"/>
      <c r="F58" s="17"/>
      <c r="G58" s="17"/>
      <c r="H58" s="17"/>
      <c r="I58" s="17"/>
      <c r="J58" s="17"/>
      <c r="K58" s="17"/>
      <c r="L58" s="17"/>
    </row>
    <row r="59" spans="1:12" ht="13.15" customHeight="1" x14ac:dyDescent="0.2">
      <c r="B59" s="18" t="s">
        <v>9</v>
      </c>
      <c r="C59" s="18"/>
      <c r="D59" s="18"/>
      <c r="E59" s="19">
        <f>+E$7</f>
        <v>43856</v>
      </c>
      <c r="F59" s="19">
        <f t="shared" ref="F59:L59" si="22">+F$7</f>
        <v>44227</v>
      </c>
      <c r="G59" s="20">
        <f t="shared" si="22"/>
        <v>44592</v>
      </c>
      <c r="H59" s="21">
        <f t="shared" si="22"/>
        <v>44957</v>
      </c>
      <c r="I59" s="21">
        <f t="shared" si="22"/>
        <v>45322</v>
      </c>
      <c r="J59" s="21">
        <f t="shared" si="22"/>
        <v>45688</v>
      </c>
      <c r="K59" s="21">
        <f t="shared" si="22"/>
        <v>46053</v>
      </c>
      <c r="L59" s="21">
        <f t="shared" si="22"/>
        <v>46418</v>
      </c>
    </row>
    <row r="60" spans="1:12" ht="13.15" customHeight="1" x14ac:dyDescent="0.2">
      <c r="G60" s="22"/>
    </row>
    <row r="61" spans="1:12" s="4" customFormat="1" ht="13.15" customHeight="1" x14ac:dyDescent="0.2">
      <c r="A61" s="50"/>
      <c r="B61" s="51" t="s">
        <v>39</v>
      </c>
      <c r="C61" s="51"/>
      <c r="D61" s="51"/>
      <c r="E61" s="52">
        <f>E11/E$9</f>
        <v>0.61989375343469499</v>
      </c>
      <c r="F61" s="52">
        <f>F11/F$9</f>
        <v>0.62344827586206897</v>
      </c>
      <c r="G61" s="53">
        <f>G11/G$9</f>
        <v>0.64929033216913135</v>
      </c>
      <c r="H61" s="54">
        <f ca="1">+OFFSET(H61,$H$3,0)</f>
        <v>0.65</v>
      </c>
      <c r="I61" s="54">
        <f ca="1">+OFFSET(I61,$H$3,0)</f>
        <v>0.65875000000000006</v>
      </c>
      <c r="J61" s="54">
        <f ca="1">+OFFSET(J61,$H$3,0)</f>
        <v>0.66750000000000009</v>
      </c>
      <c r="K61" s="54">
        <f ca="1">+OFFSET(K61,$H$3,0)</f>
        <v>0.67625000000000013</v>
      </c>
      <c r="L61" s="54">
        <f ca="1">+OFFSET(L61,$H$3,0)</f>
        <v>0.68500000000000005</v>
      </c>
    </row>
    <row r="62" spans="1:12" ht="13.15" customHeight="1" x14ac:dyDescent="0.2">
      <c r="B62" s="32" t="s">
        <v>26</v>
      </c>
      <c r="C62" s="32"/>
      <c r="D62" s="32"/>
      <c r="E62" s="28"/>
      <c r="F62" s="28"/>
      <c r="G62" s="38"/>
      <c r="H62" s="39">
        <v>0.65</v>
      </c>
      <c r="I62" s="40">
        <f ca="1">+H62-($H62-$L62)/COUNTA($H62:$K62)</f>
        <v>0.65875000000000006</v>
      </c>
      <c r="J62" s="40">
        <f t="shared" ref="J62:K62" ca="1" si="23">+I62-($H62-$L62)/COUNTA($H62:$K62)</f>
        <v>0.66750000000000009</v>
      </c>
      <c r="K62" s="40">
        <f t="shared" ca="1" si="23"/>
        <v>0.67625000000000013</v>
      </c>
      <c r="L62" s="41">
        <v>0.68500000000000005</v>
      </c>
    </row>
    <row r="63" spans="1:12" ht="13.15" customHeight="1" x14ac:dyDescent="0.2">
      <c r="B63" s="32" t="s">
        <v>27</v>
      </c>
      <c r="C63" s="32"/>
      <c r="D63" s="32"/>
      <c r="E63" s="28"/>
      <c r="F63" s="28"/>
      <c r="G63" s="38"/>
      <c r="H63" s="42">
        <v>0.68</v>
      </c>
      <c r="I63" s="40">
        <f t="shared" ref="I63:K64" ca="1" si="24">+H63-($H63-$L63)/COUNTA($H63:$K63)</f>
        <v>0.69000000000000006</v>
      </c>
      <c r="J63" s="40">
        <f t="shared" ca="1" si="24"/>
        <v>0.70000000000000007</v>
      </c>
      <c r="K63" s="40">
        <f t="shared" ca="1" si="24"/>
        <v>0.71000000000000008</v>
      </c>
      <c r="L63" s="55">
        <v>0.72</v>
      </c>
    </row>
    <row r="64" spans="1:12" ht="13.15" customHeight="1" x14ac:dyDescent="0.2">
      <c r="B64" s="32" t="s">
        <v>28</v>
      </c>
      <c r="C64" s="32"/>
      <c r="D64" s="32"/>
      <c r="E64" s="28"/>
      <c r="F64" s="28"/>
      <c r="G64" s="38"/>
      <c r="H64" s="42">
        <v>0.625</v>
      </c>
      <c r="I64" s="40">
        <f t="shared" ca="1" si="24"/>
        <v>0.61875000000000002</v>
      </c>
      <c r="J64" s="40">
        <f t="shared" ca="1" si="24"/>
        <v>0.61250000000000004</v>
      </c>
      <c r="K64" s="40">
        <f t="shared" ca="1" si="24"/>
        <v>0.60625000000000007</v>
      </c>
      <c r="L64" s="55">
        <v>0.6</v>
      </c>
    </row>
    <row r="65" spans="1:12" ht="13.15" customHeight="1" x14ac:dyDescent="0.2">
      <c r="B65" s="32"/>
      <c r="C65" s="32"/>
      <c r="D65" s="32"/>
      <c r="E65" s="28"/>
      <c r="F65" s="28"/>
      <c r="G65" s="38"/>
      <c r="H65" s="26"/>
      <c r="I65" s="26"/>
      <c r="J65" s="26"/>
      <c r="K65" s="26"/>
      <c r="L65" s="26"/>
    </row>
    <row r="66" spans="1:12" s="4" customFormat="1" ht="13.15" customHeight="1" x14ac:dyDescent="0.2">
      <c r="A66" s="50"/>
      <c r="B66" s="51" t="s">
        <v>40</v>
      </c>
      <c r="C66" s="51"/>
      <c r="D66" s="51"/>
      <c r="E66" s="52">
        <f>-E12/E$9</f>
        <v>0.25911339073090311</v>
      </c>
      <c r="F66" s="52">
        <f>-F12/F$9</f>
        <v>0.2353223388305847</v>
      </c>
      <c r="G66" s="53">
        <f>-G12/G$9</f>
        <v>0.19573456193802483</v>
      </c>
      <c r="H66" s="54">
        <f ca="1">+OFFSET(H66,$H$3,0)</f>
        <v>0.2</v>
      </c>
      <c r="I66" s="54">
        <f ca="1">+OFFSET(I66,$H$3,0)</f>
        <v>0.19500000000000001</v>
      </c>
      <c r="J66" s="54">
        <f ca="1">+OFFSET(J66,$H$3,0)</f>
        <v>0.19</v>
      </c>
      <c r="K66" s="54">
        <f ca="1">+OFFSET(K66,$H$3,0)</f>
        <v>0.185</v>
      </c>
      <c r="L66" s="54">
        <f ca="1">+OFFSET(L66,$H$3,0)</f>
        <v>0.18</v>
      </c>
    </row>
    <row r="67" spans="1:12" ht="13.15" customHeight="1" x14ac:dyDescent="0.2">
      <c r="B67" s="32" t="s">
        <v>26</v>
      </c>
      <c r="C67" s="32"/>
      <c r="D67" s="32"/>
      <c r="E67" s="28"/>
      <c r="F67" s="28"/>
      <c r="G67" s="38"/>
      <c r="H67" s="39">
        <v>0.2</v>
      </c>
      <c r="I67" s="40">
        <f ca="1">+H67-($H67-$L67)/COUNTA($H67:$K67)</f>
        <v>0.19500000000000001</v>
      </c>
      <c r="J67" s="40">
        <f t="shared" ref="J67:K67" ca="1" si="25">+I67-($H67-$L67)/COUNTA($H67:$K67)</f>
        <v>0.19</v>
      </c>
      <c r="K67" s="40">
        <f t="shared" ca="1" si="25"/>
        <v>0.185</v>
      </c>
      <c r="L67" s="41">
        <v>0.18</v>
      </c>
    </row>
    <row r="68" spans="1:12" ht="13.15" customHeight="1" x14ac:dyDescent="0.2">
      <c r="B68" s="32" t="s">
        <v>27</v>
      </c>
      <c r="C68" s="32"/>
      <c r="D68" s="32"/>
      <c r="E68" s="28"/>
      <c r="F68" s="28"/>
      <c r="G68" s="38"/>
      <c r="H68" s="42">
        <v>0.185</v>
      </c>
      <c r="I68" s="40">
        <f t="shared" ref="I68:K69" ca="1" si="26">+H68-($H68-$L68)/COUNTA($H68:$K68)</f>
        <v>0.17874999999999999</v>
      </c>
      <c r="J68" s="40">
        <f t="shared" ca="1" si="26"/>
        <v>0.17249999999999999</v>
      </c>
      <c r="K68" s="40">
        <f t="shared" ca="1" si="26"/>
        <v>0.16624999999999998</v>
      </c>
      <c r="L68" s="55">
        <v>0.16</v>
      </c>
    </row>
    <row r="69" spans="1:12" ht="13.15" customHeight="1" x14ac:dyDescent="0.2">
      <c r="B69" s="32" t="s">
        <v>28</v>
      </c>
      <c r="C69" s="32"/>
      <c r="D69" s="32"/>
      <c r="E69" s="28"/>
      <c r="F69" s="28"/>
      <c r="G69" s="38"/>
      <c r="H69" s="42">
        <v>0.22</v>
      </c>
      <c r="I69" s="40">
        <f t="shared" ca="1" si="26"/>
        <v>0.215</v>
      </c>
      <c r="J69" s="40">
        <f t="shared" ca="1" si="26"/>
        <v>0.21</v>
      </c>
      <c r="K69" s="40">
        <f t="shared" ca="1" si="26"/>
        <v>0.20499999999999999</v>
      </c>
      <c r="L69" s="55">
        <v>0.2</v>
      </c>
    </row>
    <row r="70" spans="1:12" ht="13.15" customHeight="1" x14ac:dyDescent="0.2">
      <c r="A70" s="56"/>
      <c r="B70" s="3"/>
      <c r="C70" s="3"/>
      <c r="D70" s="3"/>
      <c r="E70" s="28"/>
      <c r="F70" s="28"/>
      <c r="G70" s="38"/>
      <c r="H70" s="28"/>
      <c r="I70" s="28"/>
      <c r="J70" s="28"/>
      <c r="K70" s="28"/>
      <c r="L70" s="28"/>
    </row>
    <row r="71" spans="1:12" s="4" customFormat="1" ht="13.15" customHeight="1" x14ac:dyDescent="0.2">
      <c r="A71" s="50"/>
      <c r="B71" s="51" t="s">
        <v>41</v>
      </c>
      <c r="C71" s="51"/>
      <c r="D71" s="51"/>
      <c r="E71" s="52">
        <f>-E13/E$9</f>
        <v>0.10010991023997069</v>
      </c>
      <c r="F71" s="52">
        <f>-F13/F$9</f>
        <v>0.11634182908545727</v>
      </c>
      <c r="G71" s="53">
        <f>-G13/G$9</f>
        <v>8.0478561343538674E-2</v>
      </c>
      <c r="H71" s="54">
        <f ca="1">+OFFSET(H71,$H$3,0)</f>
        <v>8.5000000000000006E-2</v>
      </c>
      <c r="I71" s="54">
        <f ca="1">+OFFSET(I71,$H$3,0)</f>
        <v>0.08</v>
      </c>
      <c r="J71" s="54">
        <f ca="1">+OFFSET(J71,$H$3,0)</f>
        <v>7.4999999999999997E-2</v>
      </c>
      <c r="K71" s="54">
        <f ca="1">+OFFSET(K71,$H$3,0)</f>
        <v>6.9999999999999993E-2</v>
      </c>
      <c r="L71" s="54">
        <f ca="1">+OFFSET(L71,$H$3,0)</f>
        <v>6.5000000000000002E-2</v>
      </c>
    </row>
    <row r="72" spans="1:12" ht="13.15" customHeight="1" x14ac:dyDescent="0.2">
      <c r="B72" s="32" t="s">
        <v>26</v>
      </c>
      <c r="C72" s="32"/>
      <c r="D72" s="32"/>
      <c r="E72" s="28"/>
      <c r="F72" s="28"/>
      <c r="G72" s="38"/>
      <c r="H72" s="39">
        <v>8.5000000000000006E-2</v>
      </c>
      <c r="I72" s="40">
        <f ca="1">+H72-($H72-$L72)/COUNTA($H72:$K72)</f>
        <v>0.08</v>
      </c>
      <c r="J72" s="40">
        <f t="shared" ref="J72:K72" ca="1" si="27">+I72-($H72-$L72)/COUNTA($H72:$K72)</f>
        <v>7.4999999999999997E-2</v>
      </c>
      <c r="K72" s="40">
        <f t="shared" ca="1" si="27"/>
        <v>6.9999999999999993E-2</v>
      </c>
      <c r="L72" s="41">
        <v>6.5000000000000002E-2</v>
      </c>
    </row>
    <row r="73" spans="1:12" ht="13.15" customHeight="1" x14ac:dyDescent="0.2">
      <c r="B73" s="32" t="s">
        <v>27</v>
      </c>
      <c r="C73" s="32"/>
      <c r="D73" s="32"/>
      <c r="E73" s="28"/>
      <c r="F73" s="28"/>
      <c r="G73" s="38"/>
      <c r="H73" s="42">
        <v>0.08</v>
      </c>
      <c r="I73" s="40">
        <f t="shared" ref="I73:K74" ca="1" si="28">+H73-($H73-$L73)/COUNTA($H73:$K73)</f>
        <v>7.4999999999999997E-2</v>
      </c>
      <c r="J73" s="40">
        <f t="shared" ca="1" si="28"/>
        <v>6.9999999999999993E-2</v>
      </c>
      <c r="K73" s="40">
        <f t="shared" ca="1" si="28"/>
        <v>6.4999999999999988E-2</v>
      </c>
      <c r="L73" s="55">
        <v>0.06</v>
      </c>
    </row>
    <row r="74" spans="1:12" ht="13.15" customHeight="1" x14ac:dyDescent="0.2">
      <c r="B74" s="32" t="s">
        <v>28</v>
      </c>
      <c r="C74" s="32"/>
      <c r="D74" s="32"/>
      <c r="E74" s="28"/>
      <c r="F74" s="28"/>
      <c r="G74" s="38"/>
      <c r="H74" s="42">
        <v>0.1</v>
      </c>
      <c r="I74" s="40">
        <f t="shared" ca="1" si="28"/>
        <v>9.7500000000000003E-2</v>
      </c>
      <c r="J74" s="40">
        <f t="shared" ca="1" si="28"/>
        <v>9.5000000000000001E-2</v>
      </c>
      <c r="K74" s="40">
        <f t="shared" ca="1" si="28"/>
        <v>9.2499999999999999E-2</v>
      </c>
      <c r="L74" s="55">
        <v>0.09</v>
      </c>
    </row>
    <row r="75" spans="1:12" ht="13.15" customHeight="1" x14ac:dyDescent="0.2">
      <c r="A75" s="56"/>
      <c r="B75" s="3"/>
      <c r="C75" s="3"/>
      <c r="D75" s="3"/>
      <c r="E75" s="28"/>
      <c r="F75" s="28"/>
      <c r="G75" s="38"/>
      <c r="H75" s="28"/>
      <c r="I75" s="28"/>
      <c r="J75" s="28"/>
      <c r="K75" s="28"/>
      <c r="L75" s="28"/>
    </row>
    <row r="76" spans="1:12" ht="13.15" customHeight="1" x14ac:dyDescent="0.2">
      <c r="A76" s="1" t="s">
        <v>0</v>
      </c>
      <c r="B76" s="16" t="s">
        <v>42</v>
      </c>
      <c r="C76" s="16"/>
      <c r="D76" s="16"/>
      <c r="E76" s="17"/>
      <c r="F76" s="17"/>
      <c r="G76" s="17"/>
      <c r="H76" s="17"/>
      <c r="I76" s="17"/>
      <c r="J76" s="17"/>
      <c r="K76" s="17"/>
      <c r="L76" s="17"/>
    </row>
    <row r="77" spans="1:12" ht="13.15" customHeight="1" x14ac:dyDescent="0.2">
      <c r="B77" s="18" t="s">
        <v>9</v>
      </c>
      <c r="C77" s="18"/>
      <c r="D77" s="18"/>
      <c r="E77" s="19">
        <f>+E$7</f>
        <v>43856</v>
      </c>
      <c r="F77" s="19">
        <f t="shared" ref="F77:L77" si="29">+F$7</f>
        <v>44227</v>
      </c>
      <c r="G77" s="20">
        <f t="shared" si="29"/>
        <v>44592</v>
      </c>
      <c r="H77" s="21">
        <f t="shared" si="29"/>
        <v>44957</v>
      </c>
      <c r="I77" s="21">
        <f t="shared" si="29"/>
        <v>45322</v>
      </c>
      <c r="J77" s="21">
        <f t="shared" si="29"/>
        <v>45688</v>
      </c>
      <c r="K77" s="21">
        <f t="shared" si="29"/>
        <v>46053</v>
      </c>
      <c r="L77" s="21">
        <f t="shared" si="29"/>
        <v>46418</v>
      </c>
    </row>
    <row r="78" spans="1:12" ht="13.15" customHeight="1" x14ac:dyDescent="0.2">
      <c r="G78" s="22"/>
    </row>
    <row r="79" spans="1:12" ht="13.15" customHeight="1" x14ac:dyDescent="0.2">
      <c r="B79" s="32" t="s">
        <v>15</v>
      </c>
      <c r="C79" s="32"/>
      <c r="D79" s="32"/>
      <c r="E79" s="57">
        <f t="shared" ref="E79:L79" si="30">+E14</f>
        <v>2846</v>
      </c>
      <c r="F79" s="57">
        <f t="shared" si="30"/>
        <v>4532</v>
      </c>
      <c r="G79" s="58">
        <f t="shared" si="30"/>
        <v>10041</v>
      </c>
      <c r="H79" s="57">
        <f t="shared" ca="1" si="30"/>
        <v>14337.911749999996</v>
      </c>
      <c r="I79" s="57">
        <f t="shared" ca="1" si="30"/>
        <v>20499.408304609384</v>
      </c>
      <c r="J79" s="57">
        <f t="shared" ca="1" si="30"/>
        <v>26995.82725197696</v>
      </c>
      <c r="K79" s="57">
        <f t="shared" ca="1" si="30"/>
        <v>32449.042622655747</v>
      </c>
      <c r="L79" s="57">
        <f t="shared" ca="1" si="30"/>
        <v>35249.096508313989</v>
      </c>
    </row>
    <row r="80" spans="1:12" ht="13.15" customHeight="1" x14ac:dyDescent="0.2">
      <c r="B80" s="32" t="s">
        <v>43</v>
      </c>
      <c r="C80" s="32"/>
      <c r="D80" s="32"/>
      <c r="E80" s="26">
        <v>844</v>
      </c>
      <c r="F80" s="26">
        <v>1397</v>
      </c>
      <c r="G80" s="27">
        <v>2004</v>
      </c>
      <c r="H80" s="28">
        <f ca="1">+H90*H9</f>
        <v>3338.9657499999994</v>
      </c>
      <c r="I80" s="28">
        <f ca="1">+I90*I9</f>
        <v>4273.4922850000003</v>
      </c>
      <c r="J80" s="28">
        <f ca="1">+J90*J9</f>
        <v>5030.2783699335941</v>
      </c>
      <c r="K80" s="28">
        <f ca="1">+K90*K9</f>
        <v>5392.1257770585207</v>
      </c>
      <c r="L80" s="28">
        <f ca="1">+L90*L9</f>
        <v>5207.2528932736577</v>
      </c>
    </row>
    <row r="81" spans="1:12" s="4" customFormat="1" ht="13.15" customHeight="1" x14ac:dyDescent="0.2">
      <c r="A81" s="50"/>
      <c r="B81" s="29" t="s">
        <v>44</v>
      </c>
      <c r="C81" s="29"/>
      <c r="D81" s="29"/>
      <c r="E81" s="59">
        <f>+E79+E80</f>
        <v>3690</v>
      </c>
      <c r="F81" s="59">
        <f t="shared" ref="F81:L81" si="31">+F79+F80</f>
        <v>5929</v>
      </c>
      <c r="G81" s="60">
        <f t="shared" si="31"/>
        <v>12045</v>
      </c>
      <c r="H81" s="59">
        <f t="shared" ca="1" si="31"/>
        <v>17676.877499999995</v>
      </c>
      <c r="I81" s="59">
        <f t="shared" ca="1" si="31"/>
        <v>24772.900589609384</v>
      </c>
      <c r="J81" s="59">
        <f t="shared" ca="1" si="31"/>
        <v>32026.105621910552</v>
      </c>
      <c r="K81" s="59">
        <f t="shared" ca="1" si="31"/>
        <v>37841.168399714268</v>
      </c>
      <c r="L81" s="59">
        <f t="shared" ca="1" si="31"/>
        <v>40456.349401587649</v>
      </c>
    </row>
    <row r="82" spans="1:12" ht="13.15" customHeight="1" x14ac:dyDescent="0.2">
      <c r="B82" s="32" t="s">
        <v>45</v>
      </c>
      <c r="C82" s="32"/>
      <c r="D82" s="32"/>
      <c r="E82" s="61">
        <f t="shared" ref="E82:L82" si="32">+E81/E$9</f>
        <v>0.3379739879098736</v>
      </c>
      <c r="F82" s="61">
        <f t="shared" si="32"/>
        <v>0.35556221889055473</v>
      </c>
      <c r="G82" s="62">
        <f t="shared" si="32"/>
        <v>0.4475365980530579</v>
      </c>
      <c r="H82" s="61">
        <f t="shared" ca="1" si="32"/>
        <v>0.45</v>
      </c>
      <c r="I82" s="61">
        <f t="shared" ca="1" si="32"/>
        <v>0.46375000000000016</v>
      </c>
      <c r="J82" s="61">
        <f t="shared" ca="1" si="32"/>
        <v>0.47750000000000004</v>
      </c>
      <c r="K82" s="61">
        <f t="shared" ca="1" si="32"/>
        <v>0.49125000000000008</v>
      </c>
      <c r="L82" s="61">
        <f t="shared" ca="1" si="32"/>
        <v>0.505</v>
      </c>
    </row>
    <row r="83" spans="1:12" ht="13.15" customHeight="1" x14ac:dyDescent="0.2">
      <c r="B83" s="32" t="s">
        <v>46</v>
      </c>
      <c r="C83" s="32"/>
      <c r="D83" s="32"/>
      <c r="E83" s="26">
        <v>381</v>
      </c>
      <c r="F83" s="26">
        <v>1098</v>
      </c>
      <c r="G83" s="27">
        <v>1174</v>
      </c>
      <c r="H83" s="28">
        <f ca="1">+H194</f>
        <v>1733.9970374999996</v>
      </c>
      <c r="I83" s="28">
        <f ca="1">+I194</f>
        <v>2050.2049434843752</v>
      </c>
      <c r="J83" s="28">
        <f ca="1">+J194</f>
        <v>2417.1113479734377</v>
      </c>
      <c r="K83" s="28">
        <f ca="1">+K194</f>
        <v>2431.9110473107949</v>
      </c>
      <c r="L83" s="28">
        <f ca="1">+L194</f>
        <v>2399.3195934598671</v>
      </c>
    </row>
    <row r="84" spans="1:12" ht="13.15" customHeight="1" x14ac:dyDescent="0.2">
      <c r="B84" s="29" t="s">
        <v>47</v>
      </c>
      <c r="C84" s="29"/>
      <c r="D84" s="29"/>
      <c r="E84" s="30">
        <f>+E81+E83</f>
        <v>4071</v>
      </c>
      <c r="F84" s="30">
        <f t="shared" ref="F84:L84" si="33">+F81+F83</f>
        <v>7027</v>
      </c>
      <c r="G84" s="31">
        <f t="shared" si="33"/>
        <v>13219</v>
      </c>
      <c r="H84" s="30">
        <f t="shared" ca="1" si="33"/>
        <v>19410.874537499996</v>
      </c>
      <c r="I84" s="30">
        <f t="shared" ca="1" si="33"/>
        <v>26823.10553309376</v>
      </c>
      <c r="J84" s="30">
        <f t="shared" ca="1" si="33"/>
        <v>34443.216969883986</v>
      </c>
      <c r="K84" s="30">
        <f t="shared" ca="1" si="33"/>
        <v>40273.079447025062</v>
      </c>
      <c r="L84" s="30">
        <f t="shared" ca="1" si="33"/>
        <v>42855.668995047519</v>
      </c>
    </row>
    <row r="85" spans="1:12" ht="13.15" customHeight="1" x14ac:dyDescent="0.2">
      <c r="B85" s="32" t="s">
        <v>48</v>
      </c>
      <c r="C85" s="32"/>
      <c r="D85" s="32"/>
      <c r="E85" s="61">
        <f t="shared" ref="E85:L85" si="34">+E84/E$9</f>
        <v>0.37287048910056786</v>
      </c>
      <c r="F85" s="61">
        <f t="shared" si="34"/>
        <v>0.42140929535232385</v>
      </c>
      <c r="G85" s="62">
        <f t="shared" si="34"/>
        <v>0.49115701865200267</v>
      </c>
      <c r="H85" s="61">
        <f t="shared" ca="1" si="34"/>
        <v>0.49414233604747221</v>
      </c>
      <c r="I85" s="61">
        <f t="shared" ca="1" si="34"/>
        <v>0.50212994420966894</v>
      </c>
      <c r="J85" s="61">
        <f t="shared" ca="1" si="34"/>
        <v>0.51353843321704695</v>
      </c>
      <c r="K85" s="61">
        <f t="shared" ca="1" si="34"/>
        <v>0.52282080905568584</v>
      </c>
      <c r="L85" s="61">
        <f t="shared" ca="1" si="34"/>
        <v>0.53494972143111075</v>
      </c>
    </row>
    <row r="86" spans="1:12" ht="13.15" customHeight="1" x14ac:dyDescent="0.2">
      <c r="B86" s="32" t="s">
        <v>49</v>
      </c>
      <c r="C86" s="32"/>
      <c r="D86" s="32"/>
      <c r="E86" s="26">
        <v>114</v>
      </c>
      <c r="F86" s="26">
        <v>145</v>
      </c>
      <c r="G86" s="27">
        <v>168</v>
      </c>
      <c r="H86" s="28">
        <v>176</v>
      </c>
      <c r="I86" s="28">
        <v>162</v>
      </c>
      <c r="J86" s="28">
        <v>136</v>
      </c>
      <c r="K86" s="28">
        <v>124</v>
      </c>
      <c r="L86" s="28">
        <v>114</v>
      </c>
    </row>
    <row r="87" spans="1:12" ht="13.15" customHeight="1" x14ac:dyDescent="0.2">
      <c r="B87" s="29" t="s">
        <v>50</v>
      </c>
      <c r="C87" s="29"/>
      <c r="D87" s="29"/>
      <c r="E87" s="30">
        <f>+E84+E86</f>
        <v>4185</v>
      </c>
      <c r="F87" s="30">
        <f>+F84+F86</f>
        <v>7172</v>
      </c>
      <c r="G87" s="31">
        <f t="shared" ref="G87" si="35">+G84+G86</f>
        <v>13387</v>
      </c>
      <c r="H87" s="30">
        <f ca="1">+H84+H86</f>
        <v>19586.874537499996</v>
      </c>
      <c r="I87" s="30">
        <f t="shared" ref="I87:L87" ca="1" si="36">+I84+I86</f>
        <v>26985.10553309376</v>
      </c>
      <c r="J87" s="30">
        <f t="shared" ca="1" si="36"/>
        <v>34579.216969883986</v>
      </c>
      <c r="K87" s="30">
        <f t="shared" ca="1" si="36"/>
        <v>40397.079447025062</v>
      </c>
      <c r="L87" s="30">
        <f t="shared" ca="1" si="36"/>
        <v>42969.668995047519</v>
      </c>
    </row>
    <row r="88" spans="1:12" ht="13.15" customHeight="1" x14ac:dyDescent="0.2">
      <c r="B88" s="32" t="s">
        <v>48</v>
      </c>
      <c r="C88" s="32"/>
      <c r="D88" s="32"/>
      <c r="E88" s="61">
        <f t="shared" ref="E88:L88" si="37">+E87/E$9</f>
        <v>0.38331196189778349</v>
      </c>
      <c r="F88" s="61">
        <f t="shared" si="37"/>
        <v>0.4301049475262369</v>
      </c>
      <c r="G88" s="62">
        <f t="shared" si="37"/>
        <v>0.49739912313294199</v>
      </c>
      <c r="H88" s="61">
        <f t="shared" ca="1" si="37"/>
        <v>0.49862276535406214</v>
      </c>
      <c r="I88" s="61">
        <f t="shared" ca="1" si="37"/>
        <v>0.50516259271718811</v>
      </c>
      <c r="J88" s="61">
        <f t="shared" ca="1" si="37"/>
        <v>0.515566154001043</v>
      </c>
      <c r="K88" s="61">
        <f t="shared" ca="1" si="37"/>
        <v>0.52443056379043806</v>
      </c>
      <c r="L88" s="61">
        <f t="shared" ca="1" si="37"/>
        <v>0.53637273662777452</v>
      </c>
    </row>
    <row r="89" spans="1:12" ht="13.15" customHeight="1" x14ac:dyDescent="0.2">
      <c r="B89" s="32"/>
      <c r="C89" s="32"/>
      <c r="D89" s="32"/>
      <c r="E89" s="61"/>
      <c r="F89" s="61"/>
      <c r="G89" s="62"/>
      <c r="H89" s="61"/>
      <c r="I89" s="61"/>
      <c r="J89" s="61"/>
      <c r="K89" s="61"/>
      <c r="L89" s="61"/>
    </row>
    <row r="90" spans="1:12" s="4" customFormat="1" ht="13.15" customHeight="1" x14ac:dyDescent="0.2">
      <c r="A90" s="50"/>
      <c r="B90" s="51" t="s">
        <v>51</v>
      </c>
      <c r="C90" s="51"/>
      <c r="D90" s="51"/>
      <c r="E90" s="52">
        <f>+E80/E9</f>
        <v>7.7303535446052396E-2</v>
      </c>
      <c r="F90" s="52">
        <f>+F80/F9</f>
        <v>8.3778110944527737E-2</v>
      </c>
      <c r="G90" s="53">
        <f>+G80/G9</f>
        <v>7.4459389165490081E-2</v>
      </c>
      <c r="H90" s="54">
        <f ca="1">+OFFSET(H90,$H$3,0)</f>
        <v>8.5000000000000006E-2</v>
      </c>
      <c r="I90" s="54">
        <f ca="1">+OFFSET(I90,$H$3,0)</f>
        <v>0.08</v>
      </c>
      <c r="J90" s="54">
        <f ca="1">+OFFSET(J90,$H$3,0)</f>
        <v>7.4999999999999997E-2</v>
      </c>
      <c r="K90" s="54">
        <f ca="1">+OFFSET(K90,$H$3,0)</f>
        <v>6.9999999999999993E-2</v>
      </c>
      <c r="L90" s="54">
        <f ca="1">+OFFSET(L90,$H$3,0)</f>
        <v>6.5000000000000002E-2</v>
      </c>
    </row>
    <row r="91" spans="1:12" ht="13.15" customHeight="1" x14ac:dyDescent="0.2">
      <c r="B91" s="32" t="s">
        <v>26</v>
      </c>
      <c r="C91" s="32"/>
      <c r="D91" s="32"/>
      <c r="E91" s="28"/>
      <c r="F91" s="28"/>
      <c r="G91" s="38"/>
      <c r="H91" s="39">
        <v>8.5000000000000006E-2</v>
      </c>
      <c r="I91" s="40">
        <f ca="1">+H91-($H91-$L91)/COUNTA($H91:$K91)</f>
        <v>0.08</v>
      </c>
      <c r="J91" s="40">
        <f t="shared" ref="J91:K93" ca="1" si="38">+I91-($H91-$L91)/COUNTA($H91:$K91)</f>
        <v>7.4999999999999997E-2</v>
      </c>
      <c r="K91" s="40">
        <f t="shared" ca="1" si="38"/>
        <v>6.9999999999999993E-2</v>
      </c>
      <c r="L91" s="41">
        <v>6.5000000000000002E-2</v>
      </c>
    </row>
    <row r="92" spans="1:12" ht="13.15" customHeight="1" x14ac:dyDescent="0.2">
      <c r="B92" s="32" t="s">
        <v>27</v>
      </c>
      <c r="C92" s="32"/>
      <c r="D92" s="32"/>
      <c r="E92" s="28"/>
      <c r="F92" s="28"/>
      <c r="G92" s="38"/>
      <c r="H92" s="42">
        <v>0.08</v>
      </c>
      <c r="I92" s="40">
        <f t="shared" ref="I92:I93" ca="1" si="39">+H92-($H92-$L92)/COUNTA($H92:$K92)</f>
        <v>7.4999999999999997E-2</v>
      </c>
      <c r="J92" s="40">
        <f t="shared" ca="1" si="38"/>
        <v>6.9999999999999993E-2</v>
      </c>
      <c r="K92" s="40">
        <f t="shared" ca="1" si="38"/>
        <v>6.4999999999999988E-2</v>
      </c>
      <c r="L92" s="55">
        <v>0.06</v>
      </c>
    </row>
    <row r="93" spans="1:12" ht="13.15" customHeight="1" x14ac:dyDescent="0.2">
      <c r="B93" s="32" t="s">
        <v>28</v>
      </c>
      <c r="C93" s="32"/>
      <c r="D93" s="32"/>
      <c r="E93" s="28"/>
      <c r="F93" s="28"/>
      <c r="G93" s="38"/>
      <c r="H93" s="42">
        <v>0.1</v>
      </c>
      <c r="I93" s="40">
        <f t="shared" ca="1" si="39"/>
        <v>9.7500000000000003E-2</v>
      </c>
      <c r="J93" s="40">
        <f t="shared" ca="1" si="38"/>
        <v>9.5000000000000001E-2</v>
      </c>
      <c r="K93" s="40">
        <f t="shared" ca="1" si="38"/>
        <v>9.2499999999999999E-2</v>
      </c>
      <c r="L93" s="55">
        <v>0.09</v>
      </c>
    </row>
    <row r="94" spans="1:12" ht="13.15" customHeight="1" x14ac:dyDescent="0.2">
      <c r="B94" s="32"/>
      <c r="C94" s="32"/>
      <c r="D94" s="32"/>
      <c r="E94" s="28"/>
      <c r="F94" s="28"/>
      <c r="G94" s="38"/>
      <c r="H94" s="28"/>
      <c r="I94" s="28"/>
      <c r="J94" s="28"/>
      <c r="K94" s="28"/>
      <c r="L94" s="28"/>
    </row>
    <row r="95" spans="1:12" ht="13.15" customHeight="1" x14ac:dyDescent="0.2">
      <c r="A95" s="1" t="s">
        <v>0</v>
      </c>
      <c r="B95" s="16" t="s">
        <v>52</v>
      </c>
      <c r="C95" s="16"/>
      <c r="D95" s="16"/>
      <c r="E95" s="17"/>
      <c r="F95" s="17"/>
      <c r="G95" s="17"/>
      <c r="H95" s="17"/>
      <c r="I95" s="17"/>
      <c r="J95" s="17"/>
      <c r="K95" s="17"/>
      <c r="L95" s="17"/>
    </row>
    <row r="96" spans="1:12" ht="13.15" customHeight="1" x14ac:dyDescent="0.2">
      <c r="B96" s="18" t="s">
        <v>9</v>
      </c>
      <c r="C96" s="18"/>
      <c r="D96" s="18"/>
      <c r="E96" s="19">
        <f>+E$7</f>
        <v>43856</v>
      </c>
      <c r="F96" s="19">
        <f t="shared" ref="F96:L96" si="40">+F$7</f>
        <v>44227</v>
      </c>
      <c r="G96" s="20">
        <f t="shared" si="40"/>
        <v>44592</v>
      </c>
      <c r="H96" s="21">
        <f t="shared" si="40"/>
        <v>44957</v>
      </c>
      <c r="I96" s="21">
        <f t="shared" si="40"/>
        <v>45322</v>
      </c>
      <c r="J96" s="21">
        <f t="shared" si="40"/>
        <v>45688</v>
      </c>
      <c r="K96" s="21">
        <f t="shared" si="40"/>
        <v>46053</v>
      </c>
      <c r="L96" s="21">
        <f t="shared" si="40"/>
        <v>46418</v>
      </c>
    </row>
    <row r="97" spans="2:12" ht="13.15" customHeight="1" x14ac:dyDescent="0.2">
      <c r="G97" s="22"/>
    </row>
    <row r="98" spans="2:12" ht="13.15" customHeight="1" x14ac:dyDescent="0.2">
      <c r="B98" s="32" t="s">
        <v>53</v>
      </c>
      <c r="C98" s="32"/>
      <c r="D98" s="32"/>
      <c r="E98" s="28"/>
      <c r="F98" s="63">
        <f>847+10714</f>
        <v>11561</v>
      </c>
      <c r="G98" s="64">
        <f>1990+19218</f>
        <v>21208</v>
      </c>
      <c r="H98" s="57">
        <f ca="1">H213</f>
        <v>34042.672902608014</v>
      </c>
      <c r="I98" s="57">
        <f ca="1">I213</f>
        <v>53509.017052904281</v>
      </c>
      <c r="J98" s="57">
        <f ca="1">J213</f>
        <v>79453.742924909035</v>
      </c>
      <c r="K98" s="57">
        <f ca="1">K213</f>
        <v>110822.89800989398</v>
      </c>
      <c r="L98" s="57">
        <f ca="1">L213</f>
        <v>145347.38254102637</v>
      </c>
    </row>
    <row r="99" spans="2:12" ht="13.15" customHeight="1" x14ac:dyDescent="0.2">
      <c r="B99" s="32" t="s">
        <v>54</v>
      </c>
      <c r="C99" s="32"/>
      <c r="D99" s="32"/>
      <c r="E99" s="28"/>
      <c r="F99" s="26">
        <v>2429</v>
      </c>
      <c r="G99" s="27">
        <v>4650</v>
      </c>
      <c r="H99" s="28">
        <f ca="1">H129/365*H9</f>
        <v>6457.3068493150668</v>
      </c>
      <c r="I99" s="28">
        <f ca="1">I129/365*I9</f>
        <v>8415.2673420376705</v>
      </c>
      <c r="J99" s="28">
        <f ca="1">J129/365*J9</f>
        <v>10106.495355117722</v>
      </c>
      <c r="K99" s="28">
        <f ca="1">K129/365*K9</f>
        <v>11079.710500805179</v>
      </c>
      <c r="L99" s="28">
        <f ca="1">L129/365*L9</f>
        <v>10974.18944841656</v>
      </c>
    </row>
    <row r="100" spans="2:12" ht="13.15" customHeight="1" x14ac:dyDescent="0.2">
      <c r="B100" s="32" t="s">
        <v>55</v>
      </c>
      <c r="C100" s="32"/>
      <c r="D100" s="32"/>
      <c r="E100" s="28"/>
      <c r="F100" s="26">
        <v>1826</v>
      </c>
      <c r="G100" s="27">
        <v>2605</v>
      </c>
      <c r="H100" s="28">
        <f ca="1">-H134/365*H10</f>
        <v>3766.7623287671217</v>
      </c>
      <c r="I100" s="28">
        <f ca="1">-I134/365*I10</f>
        <v>4869.4212712323406</v>
      </c>
      <c r="J100" s="28">
        <f ca="1">-J134/365*J10</f>
        <v>5804.3440369051086</v>
      </c>
      <c r="K100" s="28">
        <f ca="1">-K134/365*K10</f>
        <v>6320.0515315009525</v>
      </c>
      <c r="L100" s="28">
        <f ca="1">-L134/365*L10</f>
        <v>6222.3654172521883</v>
      </c>
    </row>
    <row r="101" spans="2:12" ht="13.15" customHeight="1" x14ac:dyDescent="0.2">
      <c r="B101" s="32" t="s">
        <v>56</v>
      </c>
      <c r="C101" s="32"/>
      <c r="D101" s="32"/>
      <c r="E101" s="28"/>
      <c r="F101" s="26">
        <v>239</v>
      </c>
      <c r="G101" s="27">
        <v>366</v>
      </c>
      <c r="H101" s="28">
        <f ca="1">H139*H9</f>
        <v>549.94729999999981</v>
      </c>
      <c r="I101" s="28">
        <f ca="1">I139*I9</f>
        <v>747.86114987500002</v>
      </c>
      <c r="J101" s="28">
        <f ca="1">J139*J9</f>
        <v>938.98529572093764</v>
      </c>
      <c r="K101" s="28">
        <f ca="1">K139*K9</f>
        <v>1078.4251554117043</v>
      </c>
      <c r="L101" s="28">
        <f ca="1">L139*L9</f>
        <v>1121.5621616281726</v>
      </c>
    </row>
    <row r="102" spans="2:12" ht="13.15" customHeight="1" x14ac:dyDescent="0.2">
      <c r="B102" s="29" t="s">
        <v>57</v>
      </c>
      <c r="C102" s="29"/>
      <c r="D102" s="29"/>
      <c r="E102" s="65"/>
      <c r="F102" s="30">
        <f t="shared" ref="F102:L102" si="41">SUM(F98:F101)</f>
        <v>16055</v>
      </c>
      <c r="G102" s="31">
        <f t="shared" si="41"/>
        <v>28829</v>
      </c>
      <c r="H102" s="30">
        <f t="shared" ca="1" si="41"/>
        <v>44816.689380690201</v>
      </c>
      <c r="I102" s="30">
        <f t="shared" ca="1" si="41"/>
        <v>67541.566816049279</v>
      </c>
      <c r="J102" s="30">
        <f t="shared" ca="1" si="41"/>
        <v>96303.567612652798</v>
      </c>
      <c r="K102" s="30">
        <f t="shared" ca="1" si="41"/>
        <v>129301.08519761181</v>
      </c>
      <c r="L102" s="30">
        <f t="shared" ca="1" si="41"/>
        <v>163665.49956832328</v>
      </c>
    </row>
    <row r="103" spans="2:12" ht="13.15" customHeight="1" x14ac:dyDescent="0.2">
      <c r="B103" s="2"/>
      <c r="C103" s="2"/>
      <c r="D103" s="2"/>
      <c r="E103" s="48"/>
      <c r="F103" s="48"/>
      <c r="G103" s="49"/>
      <c r="H103" s="48"/>
      <c r="I103" s="48"/>
      <c r="J103" s="48"/>
      <c r="K103" s="48"/>
      <c r="L103" s="48"/>
    </row>
    <row r="104" spans="2:12" ht="13.15" customHeight="1" x14ac:dyDescent="0.2">
      <c r="B104" s="32" t="s">
        <v>58</v>
      </c>
      <c r="C104" s="32"/>
      <c r="D104" s="32"/>
      <c r="E104" s="28"/>
      <c r="F104" s="63">
        <v>2149</v>
      </c>
      <c r="G104" s="64">
        <v>2778</v>
      </c>
      <c r="H104" s="57">
        <f ca="1">+H163</f>
        <v>3396.6907124999998</v>
      </c>
      <c r="I104" s="57">
        <f ca="1">+I163</f>
        <v>4077.7785454218742</v>
      </c>
      <c r="J104" s="57">
        <f ca="1">+J163</f>
        <v>4748.4823280796863</v>
      </c>
      <c r="K104" s="57">
        <f ca="1">+K163</f>
        <v>5326.2100899073839</v>
      </c>
      <c r="L104" s="57">
        <f ca="1">+L163</f>
        <v>5746.7959005179482</v>
      </c>
    </row>
    <row r="105" spans="2:12" ht="13.15" customHeight="1" x14ac:dyDescent="0.2">
      <c r="B105" s="32" t="s">
        <v>59</v>
      </c>
      <c r="C105" s="32"/>
      <c r="D105" s="32"/>
      <c r="E105" s="28"/>
      <c r="F105" s="26">
        <f>4193+2737</f>
        <v>6930</v>
      </c>
      <c r="G105" s="27">
        <f>4349+2339</f>
        <v>6688</v>
      </c>
      <c r="H105" s="66">
        <f>+H178</f>
        <v>6103</v>
      </c>
      <c r="I105" s="28">
        <f t="shared" ref="I105:L105" si="42">+I178</f>
        <v>5642</v>
      </c>
      <c r="J105" s="28">
        <f t="shared" si="42"/>
        <v>5237</v>
      </c>
      <c r="K105" s="28">
        <f t="shared" si="42"/>
        <v>5116</v>
      </c>
      <c r="L105" s="28">
        <f t="shared" si="42"/>
        <v>5100</v>
      </c>
    </row>
    <row r="106" spans="2:12" ht="13.15" customHeight="1" x14ac:dyDescent="0.2">
      <c r="B106" s="32" t="s">
        <v>60</v>
      </c>
      <c r="C106" s="32"/>
      <c r="D106" s="32"/>
      <c r="E106" s="28"/>
      <c r="F106" s="26">
        <f>707+806+2144</f>
        <v>3657</v>
      </c>
      <c r="G106" s="27">
        <f>829+1222+3841</f>
        <v>5892</v>
      </c>
      <c r="H106" s="26">
        <f>+G106</f>
        <v>5892</v>
      </c>
      <c r="I106" s="66">
        <f>+H106</f>
        <v>5892</v>
      </c>
      <c r="J106" s="66">
        <f>+I106</f>
        <v>5892</v>
      </c>
      <c r="K106" s="66">
        <f>+J106</f>
        <v>5892</v>
      </c>
      <c r="L106" s="66">
        <f>+K106</f>
        <v>5892</v>
      </c>
    </row>
    <row r="107" spans="2:12" ht="13.15" customHeight="1" x14ac:dyDescent="0.2">
      <c r="B107" s="29" t="s">
        <v>61</v>
      </c>
      <c r="C107" s="29"/>
      <c r="D107" s="29"/>
      <c r="E107" s="65"/>
      <c r="F107" s="30">
        <f t="shared" ref="F107:L107" si="43">+SUM(F102,F104:F106)</f>
        <v>28791</v>
      </c>
      <c r="G107" s="31">
        <f t="shared" si="43"/>
        <v>44187</v>
      </c>
      <c r="H107" s="30">
        <f ca="1">+SUM(H102,H104:H106)</f>
        <v>60208.380093190201</v>
      </c>
      <c r="I107" s="30">
        <f t="shared" ca="1" si="43"/>
        <v>83153.345361471147</v>
      </c>
      <c r="J107" s="30">
        <f t="shared" ca="1" si="43"/>
        <v>112181.04994073248</v>
      </c>
      <c r="K107" s="30">
        <f t="shared" ca="1" si="43"/>
        <v>145635.2952875192</v>
      </c>
      <c r="L107" s="30">
        <f t="shared" ca="1" si="43"/>
        <v>180404.29546884124</v>
      </c>
    </row>
    <row r="108" spans="2:12" ht="13.15" customHeight="1" x14ac:dyDescent="0.2">
      <c r="B108" s="32"/>
      <c r="C108" s="32"/>
      <c r="D108" s="32"/>
      <c r="E108" s="28"/>
      <c r="F108" s="28"/>
      <c r="G108" s="38"/>
      <c r="H108" s="28"/>
      <c r="I108" s="28"/>
      <c r="J108" s="28"/>
      <c r="K108" s="28"/>
      <c r="L108" s="28"/>
    </row>
    <row r="109" spans="2:12" ht="13.15" customHeight="1" x14ac:dyDescent="0.2">
      <c r="B109" s="32" t="s">
        <v>62</v>
      </c>
      <c r="C109" s="32"/>
      <c r="D109" s="32"/>
      <c r="E109" s="28"/>
      <c r="F109" s="63">
        <v>1149</v>
      </c>
      <c r="G109" s="64">
        <v>1783</v>
      </c>
      <c r="H109" s="57">
        <f ca="1">-H144/365*H10</f>
        <v>2561.3983835616432</v>
      </c>
      <c r="I109" s="57">
        <f ca="1">-I144/365*I10</f>
        <v>3483.5090632662127</v>
      </c>
      <c r="J109" s="57">
        <f ca="1">-J144/365*J10</f>
        <v>4368.5326172496343</v>
      </c>
      <c r="K109" s="57">
        <f ca="1">-K144/365*K10</f>
        <v>5004.7975641345383</v>
      </c>
      <c r="L109" s="57">
        <f ca="1">-L144/365*L10</f>
        <v>5185.3045143768231</v>
      </c>
    </row>
    <row r="110" spans="2:12" ht="13.15" customHeight="1" x14ac:dyDescent="0.2">
      <c r="B110" s="32" t="s">
        <v>63</v>
      </c>
      <c r="C110" s="32"/>
      <c r="D110" s="32"/>
      <c r="E110" s="28"/>
      <c r="F110" s="26">
        <v>1777</v>
      </c>
      <c r="G110" s="27">
        <v>2552</v>
      </c>
      <c r="H110" s="28">
        <f ca="1">-H149*H13</f>
        <v>2671.1725999999999</v>
      </c>
      <c r="I110" s="28">
        <f ca="1">-I149*I13</f>
        <v>3418.7938280000003</v>
      </c>
      <c r="J110" s="28">
        <f ca="1">-J149*J13</f>
        <v>4024.2226959468753</v>
      </c>
      <c r="K110" s="28">
        <f ca="1">-K149*K13</f>
        <v>4313.7006216468171</v>
      </c>
      <c r="L110" s="28">
        <f ca="1">-L149*L13</f>
        <v>4165.8023146189262</v>
      </c>
    </row>
    <row r="111" spans="2:12" ht="13.15" customHeight="1" x14ac:dyDescent="0.2">
      <c r="B111" s="29" t="s">
        <v>64</v>
      </c>
      <c r="C111" s="29"/>
      <c r="D111" s="29"/>
      <c r="E111" s="65"/>
      <c r="F111" s="30">
        <f>SUM(F109:F110)</f>
        <v>2926</v>
      </c>
      <c r="G111" s="31">
        <f t="shared" ref="G111:L111" si="44">SUM(G109:G110)</f>
        <v>4335</v>
      </c>
      <c r="H111" s="30">
        <f t="shared" ca="1" si="44"/>
        <v>5232.5709835616435</v>
      </c>
      <c r="I111" s="30">
        <f t="shared" ca="1" si="44"/>
        <v>6902.302891266213</v>
      </c>
      <c r="J111" s="30">
        <f t="shared" ca="1" si="44"/>
        <v>8392.7553131965105</v>
      </c>
      <c r="K111" s="30">
        <f t="shared" ca="1" si="44"/>
        <v>9318.4981857813546</v>
      </c>
      <c r="L111" s="30">
        <f t="shared" ca="1" si="44"/>
        <v>9351.1068289957493</v>
      </c>
    </row>
    <row r="112" spans="2:12" ht="13.15" customHeight="1" x14ac:dyDescent="0.2">
      <c r="B112" s="2"/>
      <c r="C112" s="2"/>
      <c r="D112" s="2"/>
      <c r="E112" s="48"/>
      <c r="F112" s="48"/>
      <c r="G112" s="49"/>
      <c r="H112" s="48"/>
      <c r="I112" s="48"/>
      <c r="J112" s="48"/>
      <c r="K112" s="48"/>
      <c r="L112" s="48"/>
    </row>
    <row r="113" spans="1:12" ht="13.15" customHeight="1" x14ac:dyDescent="0.2">
      <c r="B113" s="32" t="s">
        <v>65</v>
      </c>
      <c r="C113" s="32"/>
      <c r="D113" s="32"/>
      <c r="E113" s="28"/>
      <c r="F113" s="63">
        <v>0</v>
      </c>
      <c r="G113" s="64">
        <v>0</v>
      </c>
      <c r="H113" s="57">
        <f ca="1">+H226</f>
        <v>0</v>
      </c>
      <c r="I113" s="57">
        <f t="shared" ref="I113:L113" ca="1" si="45">+I226</f>
        <v>0</v>
      </c>
      <c r="J113" s="57">
        <f t="shared" ca="1" si="45"/>
        <v>0</v>
      </c>
      <c r="K113" s="57">
        <f t="shared" ca="1" si="45"/>
        <v>0</v>
      </c>
      <c r="L113" s="57">
        <f t="shared" ca="1" si="45"/>
        <v>0</v>
      </c>
    </row>
    <row r="114" spans="1:12" ht="13.15" customHeight="1" x14ac:dyDescent="0.2">
      <c r="B114" s="32" t="s">
        <v>66</v>
      </c>
      <c r="C114" s="32"/>
      <c r="D114" s="32"/>
      <c r="E114" s="28"/>
      <c r="F114" s="26">
        <f>999+5964</f>
        <v>6963</v>
      </c>
      <c r="G114" s="27">
        <v>10946</v>
      </c>
      <c r="H114" s="28">
        <f ca="1">H235</f>
        <v>10924.108</v>
      </c>
      <c r="I114" s="28">
        <f ca="1">I235</f>
        <v>10902.216</v>
      </c>
      <c r="J114" s="28">
        <f ca="1">J235</f>
        <v>10880.324000000001</v>
      </c>
      <c r="K114" s="28">
        <f ca="1">K235</f>
        <v>10858.432000000001</v>
      </c>
      <c r="L114" s="28">
        <f ca="1">L235</f>
        <v>10836.54</v>
      </c>
    </row>
    <row r="115" spans="1:12" ht="13.15" customHeight="1" x14ac:dyDescent="0.2">
      <c r="B115" s="32" t="s">
        <v>67</v>
      </c>
      <c r="C115" s="32"/>
      <c r="D115" s="32"/>
      <c r="E115" s="28"/>
      <c r="F115" s="26">
        <f>1375+634</f>
        <v>2009</v>
      </c>
      <c r="G115" s="27">
        <f>1553+741</f>
        <v>2294</v>
      </c>
      <c r="H115" s="26">
        <f>+G115</f>
        <v>2294</v>
      </c>
      <c r="I115" s="66">
        <f>+H115</f>
        <v>2294</v>
      </c>
      <c r="J115" s="66">
        <f>+I115</f>
        <v>2294</v>
      </c>
      <c r="K115" s="66">
        <f>+J115</f>
        <v>2294</v>
      </c>
      <c r="L115" s="66">
        <f>+K115</f>
        <v>2294</v>
      </c>
    </row>
    <row r="116" spans="1:12" ht="13.15" customHeight="1" x14ac:dyDescent="0.2">
      <c r="B116" s="29" t="s">
        <v>68</v>
      </c>
      <c r="C116" s="29"/>
      <c r="D116" s="29"/>
      <c r="E116" s="65"/>
      <c r="F116" s="30">
        <f t="shared" ref="F116:L116" si="46">SUM(F111,F113:F115)</f>
        <v>11898</v>
      </c>
      <c r="G116" s="31">
        <f t="shared" si="46"/>
        <v>17575</v>
      </c>
      <c r="H116" s="30">
        <f t="shared" ca="1" si="46"/>
        <v>18450.678983561644</v>
      </c>
      <c r="I116" s="30">
        <f t="shared" ca="1" si="46"/>
        <v>20098.518891266212</v>
      </c>
      <c r="J116" s="30">
        <f t="shared" ca="1" si="46"/>
        <v>21567.079313196511</v>
      </c>
      <c r="K116" s="30">
        <f t="shared" ca="1" si="46"/>
        <v>22470.930185781355</v>
      </c>
      <c r="L116" s="30">
        <f t="shared" ca="1" si="46"/>
        <v>22481.646828995748</v>
      </c>
    </row>
    <row r="117" spans="1:12" ht="13.15" customHeight="1" x14ac:dyDescent="0.2">
      <c r="B117" s="32"/>
      <c r="C117" s="32"/>
      <c r="D117" s="32"/>
      <c r="E117" s="28"/>
      <c r="F117" s="28"/>
      <c r="G117" s="38"/>
      <c r="H117" s="28"/>
      <c r="I117" s="28"/>
      <c r="J117" s="28"/>
      <c r="K117" s="28"/>
      <c r="L117" s="28"/>
    </row>
    <row r="118" spans="1:12" ht="13.15" customHeight="1" x14ac:dyDescent="0.2">
      <c r="B118" s="32" t="s">
        <v>69</v>
      </c>
      <c r="C118" s="32"/>
      <c r="D118" s="32"/>
      <c r="E118" s="28"/>
      <c r="F118" s="63">
        <f>3+8719</f>
        <v>8722</v>
      </c>
      <c r="G118" s="64">
        <f>3+10385</f>
        <v>10388</v>
      </c>
      <c r="H118" s="57">
        <f ca="1">+G118+H195</f>
        <v>13726.965749999999</v>
      </c>
      <c r="I118" s="57">
        <f ca="1">+H118+I195</f>
        <v>18000.458035</v>
      </c>
      <c r="J118" s="57">
        <f ca="1">+I118+J195</f>
        <v>23030.736404933596</v>
      </c>
      <c r="K118" s="57">
        <f ca="1">+J118+K195</f>
        <v>28422.862181992117</v>
      </c>
      <c r="L118" s="57">
        <f ca="1">+K118+L195</f>
        <v>33630.115075265778</v>
      </c>
    </row>
    <row r="119" spans="1:12" ht="13.15" customHeight="1" x14ac:dyDescent="0.2">
      <c r="B119" s="32" t="s">
        <v>70</v>
      </c>
      <c r="C119" s="32"/>
      <c r="D119" s="32"/>
      <c r="E119" s="28"/>
      <c r="F119" s="26">
        <v>-10756</v>
      </c>
      <c r="G119" s="27">
        <v>0</v>
      </c>
      <c r="H119" s="26">
        <v>0</v>
      </c>
      <c r="I119" s="66">
        <f>+H119</f>
        <v>0</v>
      </c>
      <c r="J119" s="66">
        <f t="shared" ref="J119:L120" si="47">+I119</f>
        <v>0</v>
      </c>
      <c r="K119" s="66">
        <f t="shared" si="47"/>
        <v>0</v>
      </c>
      <c r="L119" s="66">
        <f t="shared" si="47"/>
        <v>0</v>
      </c>
    </row>
    <row r="120" spans="1:12" ht="13.15" customHeight="1" x14ac:dyDescent="0.2">
      <c r="B120" s="32" t="s">
        <v>71</v>
      </c>
      <c r="C120" s="32"/>
      <c r="D120" s="32"/>
      <c r="E120" s="28"/>
      <c r="F120" s="26">
        <v>19</v>
      </c>
      <c r="G120" s="27">
        <v>-11</v>
      </c>
      <c r="H120" s="26">
        <f>+G120</f>
        <v>-11</v>
      </c>
      <c r="I120" s="28">
        <f>+H120</f>
        <v>-11</v>
      </c>
      <c r="J120" s="28">
        <f t="shared" si="47"/>
        <v>-11</v>
      </c>
      <c r="K120" s="28">
        <f t="shared" si="47"/>
        <v>-11</v>
      </c>
      <c r="L120" s="28">
        <f t="shared" si="47"/>
        <v>-11</v>
      </c>
    </row>
    <row r="121" spans="1:12" ht="13.15" customHeight="1" x14ac:dyDescent="0.2">
      <c r="B121" s="32" t="s">
        <v>72</v>
      </c>
      <c r="C121" s="32"/>
      <c r="D121" s="32"/>
      <c r="E121" s="28"/>
      <c r="F121" s="26">
        <v>18908</v>
      </c>
      <c r="G121" s="27">
        <v>16235</v>
      </c>
      <c r="H121" s="28">
        <f ca="1">+H186</f>
        <v>28041.735359628565</v>
      </c>
      <c r="I121" s="28">
        <f t="shared" ref="I121:L121" ca="1" si="48">+I186</f>
        <v>45065.368435204953</v>
      </c>
      <c r="J121" s="28">
        <f t="shared" ca="1" si="48"/>
        <v>67594.234222602376</v>
      </c>
      <c r="K121" s="28">
        <f t="shared" ca="1" si="48"/>
        <v>94752.502919745733</v>
      </c>
      <c r="L121" s="28">
        <f t="shared" ca="1" si="48"/>
        <v>124303.5335645797</v>
      </c>
    </row>
    <row r="122" spans="1:12" ht="13.15" customHeight="1" x14ac:dyDescent="0.2">
      <c r="B122" s="29" t="s">
        <v>73</v>
      </c>
      <c r="C122" s="29"/>
      <c r="D122" s="29"/>
      <c r="E122" s="65"/>
      <c r="F122" s="30">
        <f t="shared" ref="F122:L122" si="49">+F116+SUM(F118:F121)</f>
        <v>28791</v>
      </c>
      <c r="G122" s="31">
        <f t="shared" si="49"/>
        <v>44187</v>
      </c>
      <c r="H122" s="30">
        <f t="shared" ca="1" si="49"/>
        <v>60208.380093190208</v>
      </c>
      <c r="I122" s="30">
        <f t="shared" ca="1" si="49"/>
        <v>83153.345361471162</v>
      </c>
      <c r="J122" s="30">
        <f t="shared" ca="1" si="49"/>
        <v>112181.04994073248</v>
      </c>
      <c r="K122" s="30">
        <f t="shared" ca="1" si="49"/>
        <v>145635.2952875192</v>
      </c>
      <c r="L122" s="30">
        <f t="shared" ca="1" si="49"/>
        <v>180404.29546884124</v>
      </c>
    </row>
    <row r="123" spans="1:12" ht="13.15" customHeight="1" x14ac:dyDescent="0.2">
      <c r="B123" s="32"/>
      <c r="C123" s="32"/>
      <c r="D123" s="32"/>
      <c r="E123" s="28"/>
      <c r="F123" s="28"/>
      <c r="G123" s="38"/>
      <c r="H123" s="28"/>
      <c r="I123" s="28"/>
      <c r="J123" s="28"/>
      <c r="K123" s="28"/>
      <c r="L123" s="28"/>
    </row>
    <row r="124" spans="1:12" ht="13.15" customHeight="1" x14ac:dyDescent="0.2">
      <c r="B124" s="32" t="s">
        <v>74</v>
      </c>
      <c r="C124" s="32"/>
      <c r="D124" s="32"/>
      <c r="E124" s="66"/>
      <c r="F124" s="66">
        <f t="shared" ref="F124:L124" si="50">+F107-F122</f>
        <v>0</v>
      </c>
      <c r="G124" s="67">
        <f t="shared" si="50"/>
        <v>0</v>
      </c>
      <c r="H124" s="66">
        <f t="shared" ca="1" si="50"/>
        <v>0</v>
      </c>
      <c r="I124" s="66">
        <f t="shared" ca="1" si="50"/>
        <v>0</v>
      </c>
      <c r="J124" s="66">
        <f t="shared" ca="1" si="50"/>
        <v>0</v>
      </c>
      <c r="K124" s="66">
        <f t="shared" ca="1" si="50"/>
        <v>0</v>
      </c>
      <c r="L124" s="66">
        <f t="shared" ca="1" si="50"/>
        <v>0</v>
      </c>
    </row>
    <row r="125" spans="1:12" ht="13.15" customHeight="1" x14ac:dyDescent="0.2">
      <c r="B125" s="32"/>
      <c r="C125" s="32"/>
      <c r="D125" s="32"/>
      <c r="E125" s="28"/>
      <c r="F125" s="28"/>
      <c r="G125" s="38"/>
      <c r="H125" s="28"/>
      <c r="I125" s="28"/>
      <c r="J125" s="28"/>
      <c r="K125" s="28"/>
      <c r="L125" s="28"/>
    </row>
    <row r="126" spans="1:12" ht="13.15" customHeight="1" x14ac:dyDescent="0.2">
      <c r="A126" s="1" t="s">
        <v>0</v>
      </c>
      <c r="B126" s="16" t="s">
        <v>75</v>
      </c>
      <c r="C126" s="16"/>
      <c r="D126" s="16"/>
      <c r="E126" s="17"/>
      <c r="F126" s="17"/>
      <c r="G126" s="17"/>
      <c r="H126" s="17"/>
      <c r="I126" s="17"/>
      <c r="J126" s="17"/>
      <c r="K126" s="17"/>
      <c r="L126" s="17"/>
    </row>
    <row r="127" spans="1:12" ht="13.15" customHeight="1" x14ac:dyDescent="0.2">
      <c r="B127" s="18" t="s">
        <v>9</v>
      </c>
      <c r="C127" s="18"/>
      <c r="D127" s="18"/>
      <c r="E127" s="19">
        <f>+E$7</f>
        <v>43856</v>
      </c>
      <c r="F127" s="19">
        <f t="shared" ref="F127:L127" si="51">+F$7</f>
        <v>44227</v>
      </c>
      <c r="G127" s="20">
        <f t="shared" si="51"/>
        <v>44592</v>
      </c>
      <c r="H127" s="21">
        <f t="shared" si="51"/>
        <v>44957</v>
      </c>
      <c r="I127" s="21">
        <f t="shared" si="51"/>
        <v>45322</v>
      </c>
      <c r="J127" s="21">
        <f t="shared" si="51"/>
        <v>45688</v>
      </c>
      <c r="K127" s="21">
        <f t="shared" si="51"/>
        <v>46053</v>
      </c>
      <c r="L127" s="21">
        <f t="shared" si="51"/>
        <v>46418</v>
      </c>
    </row>
    <row r="128" spans="1:12" ht="13.15" customHeight="1" x14ac:dyDescent="0.2">
      <c r="B128" s="8"/>
      <c r="C128" s="8"/>
      <c r="D128" s="8"/>
      <c r="E128" s="68"/>
      <c r="F128" s="68"/>
      <c r="G128" s="69"/>
      <c r="H128" s="68"/>
      <c r="I128" s="68"/>
      <c r="J128" s="68"/>
      <c r="K128" s="68"/>
      <c r="L128" s="68"/>
    </row>
    <row r="129" spans="1:12" s="4" customFormat="1" ht="13.15" customHeight="1" x14ac:dyDescent="0.2">
      <c r="A129" s="50"/>
      <c r="B129" s="51" t="s">
        <v>76</v>
      </c>
      <c r="C129" s="51"/>
      <c r="D129" s="51"/>
      <c r="E129" s="70"/>
      <c r="F129" s="71">
        <f>F99/F9*365</f>
        <v>53.168515742128939</v>
      </c>
      <c r="G129" s="72">
        <f>G99/G9*365</f>
        <v>63.061975180203611</v>
      </c>
      <c r="H129" s="73">
        <f ca="1">+OFFSET(H129,$H$3,0)</f>
        <v>60</v>
      </c>
      <c r="I129" s="73">
        <f ca="1">+OFFSET(I129,$H$3,0)</f>
        <v>57.5</v>
      </c>
      <c r="J129" s="73">
        <f ca="1">+OFFSET(J129,$H$3,0)</f>
        <v>55</v>
      </c>
      <c r="K129" s="73">
        <f ca="1">+OFFSET(K129,$H$3,0)</f>
        <v>52.5</v>
      </c>
      <c r="L129" s="73">
        <f ca="1">+OFFSET(L129,$H$3,0)</f>
        <v>50</v>
      </c>
    </row>
    <row r="130" spans="1:12" ht="13.15" customHeight="1" x14ac:dyDescent="0.2">
      <c r="B130" s="32" t="s">
        <v>26</v>
      </c>
      <c r="C130" s="32"/>
      <c r="D130" s="32"/>
      <c r="E130" s="28"/>
      <c r="F130" s="28"/>
      <c r="G130" s="38"/>
      <c r="H130" s="74">
        <v>60</v>
      </c>
      <c r="I130" s="75">
        <f ca="1">+H130-($H130-$L130)/COUNTA($H130:$K130)</f>
        <v>57.5</v>
      </c>
      <c r="J130" s="75">
        <f t="shared" ref="J130:K130" ca="1" si="52">+I130-($H130-$L130)/COUNTA($H130:$K130)</f>
        <v>55</v>
      </c>
      <c r="K130" s="75">
        <f t="shared" ca="1" si="52"/>
        <v>52.5</v>
      </c>
      <c r="L130" s="76">
        <v>50</v>
      </c>
    </row>
    <row r="131" spans="1:12" ht="13.15" customHeight="1" x14ac:dyDescent="0.2">
      <c r="B131" s="32" t="s">
        <v>27</v>
      </c>
      <c r="C131" s="32"/>
      <c r="D131" s="32"/>
      <c r="E131" s="28"/>
      <c r="F131" s="28"/>
      <c r="G131" s="38"/>
      <c r="H131" s="77">
        <v>55</v>
      </c>
      <c r="I131" s="78">
        <f t="shared" ref="I131:K132" ca="1" si="53">+H131-($H131-$L131)/COUNTA($H131:$K131)</f>
        <v>52.5</v>
      </c>
      <c r="J131" s="78">
        <f t="shared" ca="1" si="53"/>
        <v>50</v>
      </c>
      <c r="K131" s="78">
        <f t="shared" ca="1" si="53"/>
        <v>47.5</v>
      </c>
      <c r="L131" s="79">
        <v>45</v>
      </c>
    </row>
    <row r="132" spans="1:12" ht="13.15" customHeight="1" x14ac:dyDescent="0.2">
      <c r="B132" s="32" t="s">
        <v>28</v>
      </c>
      <c r="C132" s="32"/>
      <c r="D132" s="32"/>
      <c r="E132" s="28"/>
      <c r="F132" s="28"/>
      <c r="G132" s="38"/>
      <c r="H132" s="77">
        <v>65</v>
      </c>
      <c r="I132" s="78">
        <f t="shared" ca="1" si="53"/>
        <v>62.5</v>
      </c>
      <c r="J132" s="78">
        <f t="shared" ca="1" si="53"/>
        <v>60</v>
      </c>
      <c r="K132" s="78">
        <f t="shared" ca="1" si="53"/>
        <v>57.5</v>
      </c>
      <c r="L132" s="79">
        <v>55</v>
      </c>
    </row>
    <row r="133" spans="1:12" ht="13.15" customHeight="1" x14ac:dyDescent="0.2">
      <c r="B133" s="32"/>
      <c r="C133" s="32"/>
      <c r="D133" s="32"/>
      <c r="E133" s="28"/>
      <c r="F133" s="28"/>
      <c r="G133" s="38"/>
      <c r="H133" s="80"/>
      <c r="I133" s="80"/>
      <c r="J133" s="80"/>
      <c r="K133" s="80"/>
      <c r="L133" s="80"/>
    </row>
    <row r="134" spans="1:12" s="4" customFormat="1" ht="13.15" customHeight="1" x14ac:dyDescent="0.2">
      <c r="A134" s="50"/>
      <c r="B134" s="51" t="s">
        <v>77</v>
      </c>
      <c r="C134" s="51"/>
      <c r="D134" s="51"/>
      <c r="E134" s="70"/>
      <c r="F134" s="71">
        <f>-F100/F10*365</f>
        <v>106.14588310240484</v>
      </c>
      <c r="G134" s="72">
        <f>-G100/G10*365</f>
        <v>100.73365822650703</v>
      </c>
      <c r="H134" s="73">
        <f ca="1">+OFFSET(H134,$H$3,0)</f>
        <v>100</v>
      </c>
      <c r="I134" s="73">
        <f ca="1">+OFFSET(I134,$H$3,0)</f>
        <v>97.5</v>
      </c>
      <c r="J134" s="73">
        <f ca="1">+OFFSET(J134,$H$3,0)</f>
        <v>95</v>
      </c>
      <c r="K134" s="73">
        <f ca="1">+OFFSET(K134,$H$3,0)</f>
        <v>92.5</v>
      </c>
      <c r="L134" s="73">
        <f ca="1">+OFFSET(L134,$H$3,0)</f>
        <v>90</v>
      </c>
    </row>
    <row r="135" spans="1:12" ht="13.15" customHeight="1" x14ac:dyDescent="0.2">
      <c r="B135" s="32" t="s">
        <v>26</v>
      </c>
      <c r="C135" s="32"/>
      <c r="D135" s="32"/>
      <c r="E135" s="28"/>
      <c r="F135" s="28"/>
      <c r="G135" s="38"/>
      <c r="H135" s="74">
        <v>100</v>
      </c>
      <c r="I135" s="75">
        <f ca="1">+H135-($H135-$L135)/COUNTA($H135:$K135)</f>
        <v>97.5</v>
      </c>
      <c r="J135" s="75">
        <f t="shared" ref="J135:K135" ca="1" si="54">+I135-($H135-$L135)/COUNTA($H135:$K135)</f>
        <v>95</v>
      </c>
      <c r="K135" s="75">
        <f t="shared" ca="1" si="54"/>
        <v>92.5</v>
      </c>
      <c r="L135" s="76">
        <v>90</v>
      </c>
    </row>
    <row r="136" spans="1:12" ht="13.15" customHeight="1" x14ac:dyDescent="0.2">
      <c r="B136" s="32" t="s">
        <v>27</v>
      </c>
      <c r="C136" s="32"/>
      <c r="D136" s="32"/>
      <c r="E136" s="28"/>
      <c r="F136" s="28"/>
      <c r="G136" s="38"/>
      <c r="H136" s="77">
        <v>95</v>
      </c>
      <c r="I136" s="78">
        <f t="shared" ref="I136:K137" ca="1" si="55">+H136-($H136-$L136)/COUNTA($H136:$K136)</f>
        <v>91.25</v>
      </c>
      <c r="J136" s="78">
        <f t="shared" ca="1" si="55"/>
        <v>87.5</v>
      </c>
      <c r="K136" s="78">
        <f t="shared" ca="1" si="55"/>
        <v>83.75</v>
      </c>
      <c r="L136" s="79">
        <v>80</v>
      </c>
    </row>
    <row r="137" spans="1:12" ht="13.15" customHeight="1" x14ac:dyDescent="0.2">
      <c r="B137" s="32" t="s">
        <v>28</v>
      </c>
      <c r="C137" s="32"/>
      <c r="D137" s="32"/>
      <c r="E137" s="28"/>
      <c r="F137" s="28"/>
      <c r="G137" s="38"/>
      <c r="H137" s="77">
        <v>105</v>
      </c>
      <c r="I137" s="78">
        <f t="shared" ca="1" si="55"/>
        <v>103.75</v>
      </c>
      <c r="J137" s="78">
        <f t="shared" ca="1" si="55"/>
        <v>102.5</v>
      </c>
      <c r="K137" s="78">
        <f t="shared" ca="1" si="55"/>
        <v>101.25</v>
      </c>
      <c r="L137" s="79">
        <v>100</v>
      </c>
    </row>
    <row r="138" spans="1:12" ht="13.15" customHeight="1" x14ac:dyDescent="0.2">
      <c r="B138" s="32"/>
      <c r="C138" s="32"/>
      <c r="D138" s="32"/>
      <c r="E138" s="28"/>
      <c r="F138" s="28"/>
      <c r="G138" s="38"/>
      <c r="H138" s="80"/>
      <c r="I138" s="80"/>
      <c r="J138" s="80"/>
      <c r="K138" s="80"/>
      <c r="L138" s="80"/>
    </row>
    <row r="139" spans="1:12" s="4" customFormat="1" ht="13.15" customHeight="1" x14ac:dyDescent="0.2">
      <c r="A139" s="50"/>
      <c r="B139" s="51" t="s">
        <v>78</v>
      </c>
      <c r="C139" s="51"/>
      <c r="D139" s="51"/>
      <c r="E139" s="70"/>
      <c r="F139" s="52">
        <f>+F101/F$9</f>
        <v>1.4332833583208396E-2</v>
      </c>
      <c r="G139" s="53">
        <f>+G101/G$9</f>
        <v>1.359887047633202E-2</v>
      </c>
      <c r="H139" s="54">
        <f ca="1">+OFFSET(H139,$H$3,0)</f>
        <v>1.4E-2</v>
      </c>
      <c r="I139" s="54">
        <f ca="1">+OFFSET(I139,$H$3,0)</f>
        <v>1.4E-2</v>
      </c>
      <c r="J139" s="54">
        <f ca="1">+OFFSET(J139,$H$3,0)</f>
        <v>1.4E-2</v>
      </c>
      <c r="K139" s="54">
        <f ca="1">+OFFSET(K139,$H$3,0)</f>
        <v>1.4E-2</v>
      </c>
      <c r="L139" s="54">
        <f ca="1">+OFFSET(L139,$H$3,0)</f>
        <v>1.4E-2</v>
      </c>
    </row>
    <row r="140" spans="1:12" ht="13.15" customHeight="1" x14ac:dyDescent="0.2">
      <c r="B140" s="32" t="s">
        <v>26</v>
      </c>
      <c r="C140" s="32"/>
      <c r="D140" s="32"/>
      <c r="E140" s="28"/>
      <c r="F140" s="28"/>
      <c r="G140" s="38"/>
      <c r="H140" s="39">
        <v>1.4E-2</v>
      </c>
      <c r="I140" s="40">
        <f ca="1">+H140-($H140-$L140)/COUNTA($H140:$K140)</f>
        <v>1.4E-2</v>
      </c>
      <c r="J140" s="40">
        <f t="shared" ref="J140:K140" ca="1" si="56">+I140-($H140-$L140)/COUNTA($H140:$K140)</f>
        <v>1.4E-2</v>
      </c>
      <c r="K140" s="40">
        <f t="shared" ca="1" si="56"/>
        <v>1.4E-2</v>
      </c>
      <c r="L140" s="41">
        <v>1.4E-2</v>
      </c>
    </row>
    <row r="141" spans="1:12" ht="13.15" customHeight="1" x14ac:dyDescent="0.2">
      <c r="B141" s="32" t="s">
        <v>27</v>
      </c>
      <c r="C141" s="32"/>
      <c r="D141" s="32"/>
      <c r="E141" s="28"/>
      <c r="F141" s="28"/>
      <c r="G141" s="38"/>
      <c r="H141" s="42">
        <v>1.2E-2</v>
      </c>
      <c r="I141" s="81">
        <f t="shared" ref="I141:K142" ca="1" si="57">+H141-($H141-$L141)/COUNTA($H141:$K141)</f>
        <v>1.2E-2</v>
      </c>
      <c r="J141" s="81">
        <f t="shared" ca="1" si="57"/>
        <v>1.2E-2</v>
      </c>
      <c r="K141" s="81">
        <f t="shared" ca="1" si="57"/>
        <v>1.2E-2</v>
      </c>
      <c r="L141" s="55">
        <v>1.2E-2</v>
      </c>
    </row>
    <row r="142" spans="1:12" ht="13.15" customHeight="1" x14ac:dyDescent="0.2">
      <c r="B142" s="32" t="s">
        <v>28</v>
      </c>
      <c r="C142" s="32"/>
      <c r="D142" s="32"/>
      <c r="E142" s="28"/>
      <c r="F142" s="28"/>
      <c r="G142" s="38"/>
      <c r="H142" s="42">
        <v>1.6E-2</v>
      </c>
      <c r="I142" s="81">
        <f t="shared" ca="1" si="57"/>
        <v>1.6E-2</v>
      </c>
      <c r="J142" s="81">
        <f t="shared" ca="1" si="57"/>
        <v>1.6E-2</v>
      </c>
      <c r="K142" s="81">
        <f t="shared" ca="1" si="57"/>
        <v>1.6E-2</v>
      </c>
      <c r="L142" s="55">
        <v>1.6E-2</v>
      </c>
    </row>
    <row r="143" spans="1:12" ht="13.15" customHeight="1" x14ac:dyDescent="0.2">
      <c r="B143" s="32"/>
      <c r="C143" s="32"/>
      <c r="D143" s="32"/>
      <c r="E143" s="28"/>
      <c r="F143" s="28"/>
      <c r="G143" s="38"/>
      <c r="H143" s="80"/>
      <c r="I143" s="80"/>
      <c r="J143" s="80"/>
      <c r="K143" s="80"/>
      <c r="L143" s="80"/>
    </row>
    <row r="144" spans="1:12" s="4" customFormat="1" ht="13.15" customHeight="1" x14ac:dyDescent="0.2">
      <c r="A144" s="50"/>
      <c r="B144" s="51" t="s">
        <v>79</v>
      </c>
      <c r="C144" s="51"/>
      <c r="D144" s="51"/>
      <c r="E144" s="70"/>
      <c r="F144" s="71">
        <f>-F109/F10*365</f>
        <v>66.791686574295269</v>
      </c>
      <c r="G144" s="72">
        <f>-G109/G10*365</f>
        <v>68.947452060599645</v>
      </c>
      <c r="H144" s="73">
        <f ca="1">+OFFSET(H144,$H$3,0)</f>
        <v>68</v>
      </c>
      <c r="I144" s="73">
        <f ca="1">+OFFSET(I144,$H$3,0)</f>
        <v>69.75</v>
      </c>
      <c r="J144" s="73">
        <f ca="1">+OFFSET(J144,$H$3,0)</f>
        <v>71.5</v>
      </c>
      <c r="K144" s="73">
        <f ca="1">+OFFSET(K144,$H$3,0)</f>
        <v>73.25</v>
      </c>
      <c r="L144" s="73">
        <f ca="1">+OFFSET(L144,$H$3,0)</f>
        <v>75</v>
      </c>
    </row>
    <row r="145" spans="1:12" ht="13.15" customHeight="1" x14ac:dyDescent="0.2">
      <c r="B145" s="32" t="s">
        <v>26</v>
      </c>
      <c r="C145" s="32"/>
      <c r="D145" s="32"/>
      <c r="E145" s="28"/>
      <c r="F145" s="28"/>
      <c r="G145" s="38"/>
      <c r="H145" s="74">
        <v>68</v>
      </c>
      <c r="I145" s="75">
        <f ca="1">+H145-($H145-$L145)/COUNTA($H145:$K145)</f>
        <v>69.75</v>
      </c>
      <c r="J145" s="75">
        <f t="shared" ref="J145:K145" ca="1" si="58">+I145-($H145-$L145)/COUNTA($H145:$K145)</f>
        <v>71.5</v>
      </c>
      <c r="K145" s="75">
        <f t="shared" ca="1" si="58"/>
        <v>73.25</v>
      </c>
      <c r="L145" s="76">
        <v>75</v>
      </c>
    </row>
    <row r="146" spans="1:12" ht="13.15" customHeight="1" x14ac:dyDescent="0.2">
      <c r="B146" s="32" t="s">
        <v>27</v>
      </c>
      <c r="C146" s="32"/>
      <c r="D146" s="32"/>
      <c r="E146" s="28"/>
      <c r="F146" s="28"/>
      <c r="G146" s="38"/>
      <c r="H146" s="77">
        <v>70</v>
      </c>
      <c r="I146" s="78">
        <f t="shared" ref="I146:K147" ca="1" si="59">+H146-($H146-$L146)/COUNTA($H146:$K146)</f>
        <v>72.5</v>
      </c>
      <c r="J146" s="78">
        <f t="shared" ca="1" si="59"/>
        <v>75</v>
      </c>
      <c r="K146" s="78">
        <f t="shared" ca="1" si="59"/>
        <v>77.5</v>
      </c>
      <c r="L146" s="79">
        <v>80</v>
      </c>
    </row>
    <row r="147" spans="1:12" ht="13.15" customHeight="1" x14ac:dyDescent="0.2">
      <c r="B147" s="32" t="s">
        <v>28</v>
      </c>
      <c r="C147" s="32"/>
      <c r="D147" s="32"/>
      <c r="E147" s="28"/>
      <c r="F147" s="28"/>
      <c r="G147" s="38"/>
      <c r="H147" s="77">
        <v>64</v>
      </c>
      <c r="I147" s="78">
        <f t="shared" ca="1" si="59"/>
        <v>63</v>
      </c>
      <c r="J147" s="78">
        <f t="shared" ca="1" si="59"/>
        <v>62</v>
      </c>
      <c r="K147" s="78">
        <f t="shared" ca="1" si="59"/>
        <v>61</v>
      </c>
      <c r="L147" s="79">
        <v>60</v>
      </c>
    </row>
    <row r="148" spans="1:12" ht="13.15" customHeight="1" x14ac:dyDescent="0.2">
      <c r="B148" s="32"/>
      <c r="C148" s="32"/>
      <c r="D148" s="32"/>
      <c r="E148" s="28"/>
      <c r="F148" s="28"/>
      <c r="G148" s="38"/>
      <c r="H148" s="80"/>
      <c r="I148" s="80"/>
      <c r="J148" s="80"/>
      <c r="K148" s="80"/>
      <c r="L148" s="80"/>
    </row>
    <row r="149" spans="1:12" s="4" customFormat="1" ht="13.15" customHeight="1" x14ac:dyDescent="0.2">
      <c r="A149" s="50"/>
      <c r="B149" s="51" t="s">
        <v>80</v>
      </c>
      <c r="C149" s="51"/>
      <c r="D149" s="51"/>
      <c r="E149" s="70"/>
      <c r="F149" s="52">
        <f>-F110/F13</f>
        <v>0.91597938144329893</v>
      </c>
      <c r="G149" s="53">
        <f>-G110/G13</f>
        <v>1.1782086795937212</v>
      </c>
      <c r="H149" s="54">
        <f ca="1">+OFFSET(H149,$H$3,0)</f>
        <v>0.8</v>
      </c>
      <c r="I149" s="54">
        <f ca="1">+OFFSET(I149,$H$3,0)</f>
        <v>0.8</v>
      </c>
      <c r="J149" s="54">
        <f ca="1">+OFFSET(J149,$H$3,0)</f>
        <v>0.8</v>
      </c>
      <c r="K149" s="54">
        <f ca="1">+OFFSET(K149,$H$3,0)</f>
        <v>0.8</v>
      </c>
      <c r="L149" s="54">
        <f ca="1">+OFFSET(L149,$H$3,0)</f>
        <v>0.8</v>
      </c>
    </row>
    <row r="150" spans="1:12" ht="13.15" customHeight="1" x14ac:dyDescent="0.2">
      <c r="B150" s="32" t="s">
        <v>26</v>
      </c>
      <c r="C150" s="32"/>
      <c r="D150" s="32"/>
      <c r="E150" s="28"/>
      <c r="F150" s="28"/>
      <c r="G150" s="38"/>
      <c r="H150" s="39">
        <v>0.8</v>
      </c>
      <c r="I150" s="40">
        <f ca="1">+H150-($H150-$L150)/COUNTA($H150:$K150)</f>
        <v>0.8</v>
      </c>
      <c r="J150" s="40">
        <f t="shared" ref="J150:K150" ca="1" si="60">+I150-($H150-$L150)/COUNTA($H150:$K150)</f>
        <v>0.8</v>
      </c>
      <c r="K150" s="40">
        <f t="shared" ca="1" si="60"/>
        <v>0.8</v>
      </c>
      <c r="L150" s="41">
        <v>0.8</v>
      </c>
    </row>
    <row r="151" spans="1:12" ht="13.15" customHeight="1" x14ac:dyDescent="0.2">
      <c r="B151" s="32" t="s">
        <v>27</v>
      </c>
      <c r="C151" s="32"/>
      <c r="D151" s="32"/>
      <c r="E151" s="28"/>
      <c r="F151" s="28"/>
      <c r="G151" s="38"/>
      <c r="H151" s="42">
        <v>0.85</v>
      </c>
      <c r="I151" s="81">
        <f t="shared" ref="I151:K152" ca="1" si="61">+H151-($H151-$L151)/COUNTA($H151:$K151)</f>
        <v>0.85</v>
      </c>
      <c r="J151" s="81">
        <f t="shared" ca="1" si="61"/>
        <v>0.85</v>
      </c>
      <c r="K151" s="81">
        <f t="shared" ca="1" si="61"/>
        <v>0.85</v>
      </c>
      <c r="L151" s="55">
        <v>0.85</v>
      </c>
    </row>
    <row r="152" spans="1:12" ht="13.15" customHeight="1" x14ac:dyDescent="0.2">
      <c r="B152" s="32" t="s">
        <v>28</v>
      </c>
      <c r="C152" s="32"/>
      <c r="D152" s="32"/>
      <c r="E152" s="28"/>
      <c r="F152" s="28"/>
      <c r="G152" s="38"/>
      <c r="H152" s="42">
        <v>0.75</v>
      </c>
      <c r="I152" s="81">
        <f t="shared" ca="1" si="61"/>
        <v>0.75</v>
      </c>
      <c r="J152" s="81">
        <f t="shared" ca="1" si="61"/>
        <v>0.75</v>
      </c>
      <c r="K152" s="81">
        <f t="shared" ca="1" si="61"/>
        <v>0.75</v>
      </c>
      <c r="L152" s="55">
        <v>0.75</v>
      </c>
    </row>
    <row r="153" spans="1:12" ht="13.15" customHeight="1" x14ac:dyDescent="0.2">
      <c r="B153" s="32"/>
      <c r="C153" s="32"/>
      <c r="D153" s="32"/>
      <c r="E153" s="28"/>
      <c r="F153" s="28"/>
      <c r="G153" s="38"/>
      <c r="H153" s="26"/>
      <c r="I153" s="82"/>
      <c r="J153" s="82"/>
      <c r="K153" s="82"/>
      <c r="L153" s="82"/>
    </row>
    <row r="154" spans="1:12" s="4" customFormat="1" ht="13.15" customHeight="1" x14ac:dyDescent="0.2">
      <c r="A154" s="50"/>
      <c r="B154" s="51" t="s">
        <v>81</v>
      </c>
      <c r="C154" s="51"/>
      <c r="D154" s="51"/>
      <c r="E154" s="70"/>
      <c r="F154" s="83">
        <f t="shared" ref="F154:L154" si="62">SUM(F99:F101)-SUM(F109:F110)</f>
        <v>1568</v>
      </c>
      <c r="G154" s="84">
        <f t="shared" si="62"/>
        <v>3286</v>
      </c>
      <c r="H154" s="83">
        <f t="shared" ca="1" si="62"/>
        <v>5541.4454945205453</v>
      </c>
      <c r="I154" s="83">
        <f t="shared" ca="1" si="62"/>
        <v>7130.2468718787977</v>
      </c>
      <c r="J154" s="83">
        <f t="shared" ca="1" si="62"/>
        <v>8457.0693745472563</v>
      </c>
      <c r="K154" s="83">
        <f t="shared" ca="1" si="62"/>
        <v>9159.6890019364801</v>
      </c>
      <c r="L154" s="83">
        <f t="shared" ca="1" si="62"/>
        <v>8967.0101983011718</v>
      </c>
    </row>
    <row r="155" spans="1:12" ht="13.15" customHeight="1" x14ac:dyDescent="0.2">
      <c r="B155" s="32" t="s">
        <v>82</v>
      </c>
      <c r="C155" s="32"/>
      <c r="D155" s="32"/>
      <c r="E155" s="28"/>
      <c r="F155" s="57" t="s">
        <v>25</v>
      </c>
      <c r="G155" s="58">
        <f>+F154-G154</f>
        <v>-1718</v>
      </c>
      <c r="H155" s="57">
        <f ca="1">+G154-H154</f>
        <v>-2255.4454945205453</v>
      </c>
      <c r="I155" s="57">
        <f t="shared" ref="I155:L155" ca="1" si="63">+H154-I154</f>
        <v>-1588.8013773582525</v>
      </c>
      <c r="J155" s="57">
        <f t="shared" ca="1" si="63"/>
        <v>-1326.8225026684586</v>
      </c>
      <c r="K155" s="57">
        <f t="shared" ca="1" si="63"/>
        <v>-702.61962738922375</v>
      </c>
      <c r="L155" s="57">
        <f t="shared" ca="1" si="63"/>
        <v>192.67880363530821</v>
      </c>
    </row>
    <row r="156" spans="1:12" ht="13.15" customHeight="1" x14ac:dyDescent="0.2">
      <c r="B156" s="32"/>
      <c r="C156" s="32"/>
      <c r="D156" s="32"/>
      <c r="E156" s="28"/>
      <c r="F156" s="28"/>
      <c r="G156" s="38"/>
      <c r="H156" s="28"/>
      <c r="I156" s="28"/>
      <c r="J156" s="28"/>
      <c r="K156" s="28"/>
      <c r="L156" s="28"/>
    </row>
    <row r="157" spans="1:12" ht="13.15" customHeight="1" x14ac:dyDescent="0.2">
      <c r="A157" s="1" t="s">
        <v>0</v>
      </c>
      <c r="B157" s="16" t="s">
        <v>83</v>
      </c>
      <c r="C157" s="16"/>
      <c r="D157" s="16"/>
      <c r="E157" s="17"/>
      <c r="F157" s="17"/>
      <c r="G157" s="17"/>
      <c r="H157" s="17"/>
      <c r="I157" s="17"/>
      <c r="J157" s="17"/>
      <c r="K157" s="17"/>
      <c r="L157" s="17"/>
    </row>
    <row r="158" spans="1:12" ht="13.15" customHeight="1" x14ac:dyDescent="0.2">
      <c r="B158" s="18" t="s">
        <v>9</v>
      </c>
      <c r="C158" s="18"/>
      <c r="D158" s="18"/>
      <c r="E158" s="19">
        <f>+E$7</f>
        <v>43856</v>
      </c>
      <c r="F158" s="19">
        <f t="shared" ref="F158:L158" si="64">+F$7</f>
        <v>44227</v>
      </c>
      <c r="G158" s="20">
        <f t="shared" si="64"/>
        <v>44592</v>
      </c>
      <c r="H158" s="21">
        <f t="shared" si="64"/>
        <v>44957</v>
      </c>
      <c r="I158" s="21">
        <f t="shared" si="64"/>
        <v>45322</v>
      </c>
      <c r="J158" s="21">
        <f t="shared" si="64"/>
        <v>45688</v>
      </c>
      <c r="K158" s="21">
        <f t="shared" si="64"/>
        <v>46053</v>
      </c>
      <c r="L158" s="21">
        <f t="shared" si="64"/>
        <v>46418</v>
      </c>
    </row>
    <row r="159" spans="1:12" ht="13.15" customHeight="1" x14ac:dyDescent="0.2">
      <c r="B159" s="8"/>
      <c r="C159" s="8"/>
      <c r="D159" s="8"/>
      <c r="E159" s="68"/>
      <c r="F159" s="68"/>
      <c r="G159" s="69"/>
      <c r="H159" s="68"/>
      <c r="I159" s="68"/>
      <c r="J159" s="68"/>
      <c r="K159" s="68"/>
      <c r="L159" s="68"/>
    </row>
    <row r="160" spans="1:12" s="4" customFormat="1" ht="13.15" customHeight="1" x14ac:dyDescent="0.2">
      <c r="A160" s="1"/>
      <c r="B160" s="43" t="s">
        <v>84</v>
      </c>
      <c r="C160" s="43"/>
      <c r="D160" s="43"/>
      <c r="E160" s="48"/>
      <c r="F160" s="48"/>
      <c r="G160" s="49"/>
      <c r="H160" s="25">
        <f>+G163</f>
        <v>2778</v>
      </c>
      <c r="I160" s="25">
        <f ca="1">+H163</f>
        <v>3396.6907124999998</v>
      </c>
      <c r="J160" s="25">
        <f ca="1">+I163</f>
        <v>4077.7785454218742</v>
      </c>
      <c r="K160" s="25">
        <f ca="1">+J163</f>
        <v>4748.4823280796863</v>
      </c>
      <c r="L160" s="25">
        <f ca="1">+K163</f>
        <v>5326.2100899073839</v>
      </c>
    </row>
    <row r="161" spans="1:12" ht="13.15" customHeight="1" x14ac:dyDescent="0.2">
      <c r="B161" s="32" t="s">
        <v>85</v>
      </c>
      <c r="C161" s="32"/>
      <c r="D161" s="32"/>
      <c r="E161" s="26">
        <v>489</v>
      </c>
      <c r="F161" s="26">
        <v>1128</v>
      </c>
      <c r="G161" s="27">
        <v>976</v>
      </c>
      <c r="H161" s="28">
        <f ca="1">+H165*H9</f>
        <v>1767.6877499999994</v>
      </c>
      <c r="I161" s="28">
        <f ca="1">+I165*I9</f>
        <v>2270.2927764062501</v>
      </c>
      <c r="J161" s="28">
        <f ca="1">+J165*J9</f>
        <v>2682.8151306312498</v>
      </c>
      <c r="K161" s="28">
        <f ca="1">+K165*K9</f>
        <v>2888.6388091384929</v>
      </c>
      <c r="L161" s="28">
        <f ca="1">+L165*L9</f>
        <v>2803.9054040704314</v>
      </c>
    </row>
    <row r="162" spans="1:12" ht="13.15" customHeight="1" x14ac:dyDescent="0.2">
      <c r="B162" s="32" t="s">
        <v>86</v>
      </c>
      <c r="C162" s="32"/>
      <c r="D162" s="32"/>
      <c r="E162" s="26">
        <v>-355</v>
      </c>
      <c r="F162" s="26">
        <v>-486</v>
      </c>
      <c r="G162" s="27">
        <v>-611</v>
      </c>
      <c r="H162" s="28">
        <f ca="1">-H170*H161</f>
        <v>-1148.9970374999996</v>
      </c>
      <c r="I162" s="28">
        <f t="shared" ref="I162:L162" ca="1" si="65">-I170*I161</f>
        <v>-1589.2049434843752</v>
      </c>
      <c r="J162" s="28">
        <f t="shared" ca="1" si="65"/>
        <v>-2012.1113479734377</v>
      </c>
      <c r="K162" s="28">
        <f t="shared" ca="1" si="65"/>
        <v>-2310.9110473107949</v>
      </c>
      <c r="L162" s="28">
        <f t="shared" ca="1" si="65"/>
        <v>-2383.3195934598671</v>
      </c>
    </row>
    <row r="163" spans="1:12" s="4" customFormat="1" ht="13.15" customHeight="1" x14ac:dyDescent="0.2">
      <c r="A163" s="1"/>
      <c r="B163" s="85" t="s">
        <v>87</v>
      </c>
      <c r="C163" s="85"/>
      <c r="D163" s="85"/>
      <c r="E163" s="65"/>
      <c r="F163" s="65"/>
      <c r="G163" s="31">
        <f>+G104</f>
        <v>2778</v>
      </c>
      <c r="H163" s="30">
        <f ca="1">+SUM(H160:H162)</f>
        <v>3396.6907124999998</v>
      </c>
      <c r="I163" s="30">
        <f t="shared" ref="I163:L163" ca="1" si="66">+SUM(I160:I162)</f>
        <v>4077.7785454218742</v>
      </c>
      <c r="J163" s="30">
        <f t="shared" ca="1" si="66"/>
        <v>4748.4823280796863</v>
      </c>
      <c r="K163" s="30">
        <f t="shared" ca="1" si="66"/>
        <v>5326.2100899073839</v>
      </c>
      <c r="L163" s="30">
        <f t="shared" ca="1" si="66"/>
        <v>5746.7959005179482</v>
      </c>
    </row>
    <row r="164" spans="1:12" ht="13.15" customHeight="1" x14ac:dyDescent="0.2">
      <c r="B164" s="2"/>
      <c r="C164" s="2"/>
      <c r="D164" s="2"/>
      <c r="E164" s="48"/>
      <c r="F164" s="48"/>
      <c r="G164" s="49"/>
      <c r="H164" s="48"/>
      <c r="I164" s="48"/>
      <c r="J164" s="48"/>
      <c r="K164" s="48"/>
      <c r="L164" s="48"/>
    </row>
    <row r="165" spans="1:12" s="4" customFormat="1" ht="13.15" customHeight="1" x14ac:dyDescent="0.2">
      <c r="A165" s="50"/>
      <c r="B165" s="51" t="s">
        <v>88</v>
      </c>
      <c r="C165" s="51"/>
      <c r="D165" s="51"/>
      <c r="E165" s="52">
        <f>E161/E9</f>
        <v>4.478842278805642E-2</v>
      </c>
      <c r="F165" s="52">
        <f>F161/F9</f>
        <v>6.7646176911544231E-2</v>
      </c>
      <c r="G165" s="53">
        <f>G161/G9</f>
        <v>3.6263654603552055E-2</v>
      </c>
      <c r="H165" s="54">
        <f ca="1">+OFFSET(H165,$H$3,0)</f>
        <v>4.4999999999999998E-2</v>
      </c>
      <c r="I165" s="54">
        <f ca="1">+OFFSET(I165,$H$3,0)</f>
        <v>4.2499999999999996E-2</v>
      </c>
      <c r="J165" s="54">
        <f ca="1">+OFFSET(J165,$H$3,0)</f>
        <v>3.9999999999999994E-2</v>
      </c>
      <c r="K165" s="54">
        <f ca="1">+OFFSET(K165,$H$3,0)</f>
        <v>3.7499999999999992E-2</v>
      </c>
      <c r="L165" s="54">
        <f ca="1">+OFFSET(L165,$H$3,0)</f>
        <v>3.5000000000000003E-2</v>
      </c>
    </row>
    <row r="166" spans="1:12" ht="13.15" customHeight="1" x14ac:dyDescent="0.2">
      <c r="B166" s="32" t="s">
        <v>26</v>
      </c>
      <c r="C166" s="32"/>
      <c r="D166" s="32"/>
      <c r="E166" s="28"/>
      <c r="F166" s="28"/>
      <c r="G166" s="38"/>
      <c r="H166" s="39">
        <v>4.4999999999999998E-2</v>
      </c>
      <c r="I166" s="40">
        <f ca="1">+H166-($H166-$L166)/COUNTA($H166:$K166)</f>
        <v>4.2499999999999996E-2</v>
      </c>
      <c r="J166" s="40">
        <f t="shared" ref="J166:K166" ca="1" si="67">+I166-($H166-$L166)/COUNTA($H166:$K166)</f>
        <v>3.9999999999999994E-2</v>
      </c>
      <c r="K166" s="40">
        <f t="shared" ca="1" si="67"/>
        <v>3.7499999999999992E-2</v>
      </c>
      <c r="L166" s="41">
        <v>3.5000000000000003E-2</v>
      </c>
    </row>
    <row r="167" spans="1:12" ht="13.15" customHeight="1" x14ac:dyDescent="0.2">
      <c r="B167" s="32" t="s">
        <v>27</v>
      </c>
      <c r="C167" s="32"/>
      <c r="D167" s="32"/>
      <c r="E167" s="28"/>
      <c r="F167" s="28"/>
      <c r="G167" s="38"/>
      <c r="H167" s="42">
        <v>0.04</v>
      </c>
      <c r="I167" s="81">
        <f t="shared" ref="I167:K168" ca="1" si="68">+H167-($H167-$L167)/COUNTA($H167:$K167)</f>
        <v>3.7499999999999999E-2</v>
      </c>
      <c r="J167" s="81">
        <f t="shared" ca="1" si="68"/>
        <v>3.4999999999999996E-2</v>
      </c>
      <c r="K167" s="81">
        <f t="shared" ca="1" si="68"/>
        <v>3.2499999999999994E-2</v>
      </c>
      <c r="L167" s="55">
        <v>0.03</v>
      </c>
    </row>
    <row r="168" spans="1:12" ht="13.15" customHeight="1" x14ac:dyDescent="0.2">
      <c r="B168" s="32" t="s">
        <v>28</v>
      </c>
      <c r="C168" s="32"/>
      <c r="D168" s="32"/>
      <c r="E168" s="28"/>
      <c r="F168" s="28"/>
      <c r="G168" s="38"/>
      <c r="H168" s="42">
        <v>0.05</v>
      </c>
      <c r="I168" s="81">
        <f t="shared" ca="1" si="68"/>
        <v>4.8750000000000002E-2</v>
      </c>
      <c r="J168" s="81">
        <f t="shared" ca="1" si="68"/>
        <v>4.7500000000000001E-2</v>
      </c>
      <c r="K168" s="81">
        <f t="shared" ca="1" si="68"/>
        <v>4.6249999999999999E-2</v>
      </c>
      <c r="L168" s="55">
        <v>4.4999999999999998E-2</v>
      </c>
    </row>
    <row r="169" spans="1:12" ht="13.15" customHeight="1" x14ac:dyDescent="0.2">
      <c r="B169" s="32"/>
      <c r="C169" s="32"/>
      <c r="D169" s="32"/>
      <c r="E169" s="28"/>
      <c r="F169" s="28"/>
      <c r="G169" s="38"/>
      <c r="H169" s="28"/>
      <c r="I169" s="28"/>
      <c r="J169" s="28"/>
      <c r="K169" s="28"/>
      <c r="L169" s="28"/>
    </row>
    <row r="170" spans="1:12" s="87" customFormat="1" ht="13.15" customHeight="1" x14ac:dyDescent="0.2">
      <c r="A170" s="50"/>
      <c r="B170" s="51" t="s">
        <v>89</v>
      </c>
      <c r="C170" s="51"/>
      <c r="D170" s="51"/>
      <c r="E170" s="54">
        <f>-E162/E161</f>
        <v>0.72597137014314927</v>
      </c>
      <c r="F170" s="54">
        <f>-F162/F161</f>
        <v>0.43085106382978722</v>
      </c>
      <c r="G170" s="86">
        <f>-G162/G161</f>
        <v>0.62602459016393441</v>
      </c>
      <c r="H170" s="54">
        <f ca="1">+OFFSET(H170,$H$3,0)</f>
        <v>0.65</v>
      </c>
      <c r="I170" s="54">
        <f ca="1">+OFFSET(I170,$H$3,0)</f>
        <v>0.70000000000000007</v>
      </c>
      <c r="J170" s="54">
        <f ca="1">+OFFSET(J170,$H$3,0)</f>
        <v>0.75000000000000011</v>
      </c>
      <c r="K170" s="54">
        <f ca="1">+OFFSET(K170,$H$3,0)</f>
        <v>0.80000000000000016</v>
      </c>
      <c r="L170" s="54">
        <f ca="1">+OFFSET(L170,$H$3,0)</f>
        <v>0.8500000000000002</v>
      </c>
    </row>
    <row r="171" spans="1:12" ht="13.15" customHeight="1" x14ac:dyDescent="0.2">
      <c r="B171" s="32" t="s">
        <v>26</v>
      </c>
      <c r="C171" s="32"/>
      <c r="D171" s="32"/>
      <c r="E171" s="28"/>
      <c r="F171" s="28"/>
      <c r="G171" s="38"/>
      <c r="H171" s="42">
        <v>0.65</v>
      </c>
      <c r="I171" s="81">
        <f ca="1">+H171-($H171-$L171)/COUNTA($H171:$K171)</f>
        <v>0.70000000000000007</v>
      </c>
      <c r="J171" s="81">
        <f t="shared" ref="J171:K171" ca="1" si="69">+I171-($H171-$L171)/COUNTA($H171:$K171)</f>
        <v>0.75000000000000011</v>
      </c>
      <c r="K171" s="81">
        <f t="shared" ca="1" si="69"/>
        <v>0.80000000000000016</v>
      </c>
      <c r="L171" s="55">
        <f t="shared" ref="L171:L172" ca="1" si="70">+K171+5%</f>
        <v>0.8500000000000002</v>
      </c>
    </row>
    <row r="172" spans="1:12" ht="13.15" customHeight="1" x14ac:dyDescent="0.2">
      <c r="B172" s="32" t="s">
        <v>27</v>
      </c>
      <c r="C172" s="32"/>
      <c r="D172" s="32"/>
      <c r="E172" s="28"/>
      <c r="F172" s="28"/>
      <c r="G172" s="38"/>
      <c r="H172" s="42">
        <v>0.7</v>
      </c>
      <c r="I172" s="81">
        <f t="shared" ref="I172:K173" ca="1" si="71">+H172-($H172-$L172)/COUNTA($H172:$K172)</f>
        <v>0.75</v>
      </c>
      <c r="J172" s="81">
        <f t="shared" ca="1" si="71"/>
        <v>0.8</v>
      </c>
      <c r="K172" s="81">
        <f t="shared" ca="1" si="71"/>
        <v>0.85000000000000009</v>
      </c>
      <c r="L172" s="55">
        <f t="shared" ca="1" si="70"/>
        <v>0.90000000000000013</v>
      </c>
    </row>
    <row r="173" spans="1:12" ht="13.15" customHeight="1" x14ac:dyDescent="0.2">
      <c r="B173" s="32" t="s">
        <v>28</v>
      </c>
      <c r="C173" s="32"/>
      <c r="D173" s="32"/>
      <c r="E173" s="28"/>
      <c r="F173" s="28"/>
      <c r="G173" s="38"/>
      <c r="H173" s="42">
        <v>0.4</v>
      </c>
      <c r="I173" s="81">
        <f t="shared" ca="1" si="71"/>
        <v>0.46250000000000002</v>
      </c>
      <c r="J173" s="81">
        <f t="shared" ca="1" si="71"/>
        <v>0.52500000000000002</v>
      </c>
      <c r="K173" s="81">
        <f t="shared" ca="1" si="71"/>
        <v>0.58750000000000002</v>
      </c>
      <c r="L173" s="55">
        <v>0.65</v>
      </c>
    </row>
    <row r="174" spans="1:12" ht="13.15" customHeight="1" x14ac:dyDescent="0.2">
      <c r="E174" s="28"/>
      <c r="F174" s="28"/>
      <c r="G174" s="38"/>
      <c r="H174" s="28"/>
      <c r="I174" s="28"/>
      <c r="J174" s="28"/>
      <c r="K174" s="28"/>
      <c r="L174" s="28"/>
    </row>
    <row r="175" spans="1:12" s="4" customFormat="1" ht="13.15" customHeight="1" x14ac:dyDescent="0.2">
      <c r="A175" s="1"/>
      <c r="B175" s="43" t="s">
        <v>90</v>
      </c>
      <c r="C175" s="43"/>
      <c r="D175" s="43"/>
      <c r="E175" s="48"/>
      <c r="F175" s="48"/>
      <c r="G175" s="49"/>
      <c r="H175" s="25">
        <f>+G105</f>
        <v>6688</v>
      </c>
      <c r="I175" s="25">
        <f>+H178</f>
        <v>6103</v>
      </c>
      <c r="J175" s="25">
        <f t="shared" ref="J175:L175" si="72">+I178</f>
        <v>5642</v>
      </c>
      <c r="K175" s="25">
        <f t="shared" si="72"/>
        <v>5237</v>
      </c>
      <c r="L175" s="25">
        <f t="shared" si="72"/>
        <v>5116</v>
      </c>
    </row>
    <row r="176" spans="1:12" ht="13.15" customHeight="1" x14ac:dyDescent="0.2">
      <c r="B176" s="13" t="s">
        <v>91</v>
      </c>
      <c r="E176" s="26">
        <v>-25</v>
      </c>
      <c r="F176" s="26">
        <v>-612</v>
      </c>
      <c r="G176" s="27">
        <v>-563</v>
      </c>
      <c r="H176" s="26">
        <v>-585</v>
      </c>
      <c r="I176" s="26">
        <v>-461</v>
      </c>
      <c r="J176" s="26">
        <v>-405</v>
      </c>
      <c r="K176" s="26">
        <v>-121</v>
      </c>
      <c r="L176" s="26">
        <v>-16</v>
      </c>
    </row>
    <row r="177" spans="1:12" ht="13.15" customHeight="1" x14ac:dyDescent="0.2">
      <c r="B177" s="13" t="s">
        <v>92</v>
      </c>
      <c r="E177" s="28"/>
      <c r="F177" s="28"/>
      <c r="G177" s="38"/>
      <c r="H177" s="26">
        <v>0</v>
      </c>
      <c r="I177" s="28">
        <f>+H177</f>
        <v>0</v>
      </c>
      <c r="J177" s="28">
        <f t="shared" ref="J177:L177" si="73">+I177</f>
        <v>0</v>
      </c>
      <c r="K177" s="28">
        <f t="shared" si="73"/>
        <v>0</v>
      </c>
      <c r="L177" s="28">
        <f t="shared" si="73"/>
        <v>0</v>
      </c>
    </row>
    <row r="178" spans="1:12" s="4" customFormat="1" ht="13.15" customHeight="1" x14ac:dyDescent="0.2">
      <c r="A178" s="1"/>
      <c r="B178" s="29" t="s">
        <v>93</v>
      </c>
      <c r="C178" s="29"/>
      <c r="D178" s="29"/>
      <c r="E178" s="65"/>
      <c r="F178" s="65"/>
      <c r="G178" s="88"/>
      <c r="H178" s="30">
        <f>SUM(H175:H177)</f>
        <v>6103</v>
      </c>
      <c r="I178" s="30">
        <f t="shared" ref="I178:L178" si="74">SUM(I175:I177)</f>
        <v>5642</v>
      </c>
      <c r="J178" s="30">
        <f t="shared" si="74"/>
        <v>5237</v>
      </c>
      <c r="K178" s="30">
        <f t="shared" si="74"/>
        <v>5116</v>
      </c>
      <c r="L178" s="30">
        <f t="shared" si="74"/>
        <v>5100</v>
      </c>
    </row>
    <row r="179" spans="1:12" s="4" customFormat="1" ht="13.15" customHeight="1" x14ac:dyDescent="0.2">
      <c r="A179" s="1"/>
      <c r="B179" s="2"/>
      <c r="C179" s="2"/>
      <c r="D179" s="2"/>
      <c r="E179" s="48"/>
      <c r="F179" s="48"/>
      <c r="G179" s="49"/>
      <c r="H179" s="48"/>
      <c r="I179" s="48"/>
      <c r="J179" s="48"/>
      <c r="K179" s="48"/>
      <c r="L179" s="48"/>
    </row>
    <row r="180" spans="1:12" s="4" customFormat="1" ht="13.15" customHeight="1" x14ac:dyDescent="0.2">
      <c r="A180" s="1" t="s">
        <v>0</v>
      </c>
      <c r="B180" s="16" t="s">
        <v>94</v>
      </c>
      <c r="C180" s="16"/>
      <c r="D180" s="16"/>
      <c r="E180" s="17"/>
      <c r="F180" s="17"/>
      <c r="G180" s="17"/>
      <c r="H180" s="17"/>
      <c r="I180" s="17"/>
      <c r="J180" s="17"/>
      <c r="K180" s="17"/>
      <c r="L180" s="17"/>
    </row>
    <row r="181" spans="1:12" ht="13.15" customHeight="1" x14ac:dyDescent="0.2">
      <c r="B181" s="18" t="s">
        <v>9</v>
      </c>
      <c r="C181" s="18"/>
      <c r="D181" s="18"/>
      <c r="E181" s="19">
        <f>+E$7</f>
        <v>43856</v>
      </c>
      <c r="F181" s="19">
        <f t="shared" ref="F181:L181" si="75">+F$7</f>
        <v>44227</v>
      </c>
      <c r="G181" s="20">
        <f t="shared" si="75"/>
        <v>44592</v>
      </c>
      <c r="H181" s="21">
        <f t="shared" si="75"/>
        <v>44957</v>
      </c>
      <c r="I181" s="21">
        <f t="shared" si="75"/>
        <v>45322</v>
      </c>
      <c r="J181" s="21">
        <f t="shared" si="75"/>
        <v>45688</v>
      </c>
      <c r="K181" s="21">
        <f t="shared" si="75"/>
        <v>46053</v>
      </c>
      <c r="L181" s="21">
        <f t="shared" si="75"/>
        <v>46418</v>
      </c>
    </row>
    <row r="182" spans="1:12" s="4" customFormat="1" ht="13.15" customHeight="1" x14ac:dyDescent="0.2">
      <c r="A182" s="1"/>
      <c r="B182" s="8"/>
      <c r="C182" s="8"/>
      <c r="D182" s="8"/>
      <c r="E182" s="68"/>
      <c r="F182" s="68"/>
      <c r="G182" s="69"/>
      <c r="H182" s="68"/>
      <c r="I182" s="68"/>
      <c r="J182" s="68"/>
      <c r="K182" s="68"/>
      <c r="L182" s="68"/>
    </row>
    <row r="183" spans="1:12" s="4" customFormat="1" ht="13.15" customHeight="1" x14ac:dyDescent="0.2">
      <c r="A183" s="1"/>
      <c r="B183" s="2" t="s">
        <v>95</v>
      </c>
      <c r="C183" s="2"/>
      <c r="D183" s="2"/>
      <c r="E183" s="48"/>
      <c r="F183" s="48"/>
      <c r="G183" s="49"/>
      <c r="H183" s="25">
        <f>+G186</f>
        <v>16235</v>
      </c>
      <c r="I183" s="25">
        <f t="shared" ref="I183:L183" ca="1" si="76">+H186</f>
        <v>28041.735359628565</v>
      </c>
      <c r="J183" s="25">
        <f t="shared" ca="1" si="76"/>
        <v>45065.368435204953</v>
      </c>
      <c r="K183" s="25">
        <f t="shared" ca="1" si="76"/>
        <v>67594.234222602376</v>
      </c>
      <c r="L183" s="25">
        <f t="shared" ca="1" si="76"/>
        <v>94752.502919745733</v>
      </c>
    </row>
    <row r="184" spans="1:12" ht="13.15" customHeight="1" x14ac:dyDescent="0.2">
      <c r="B184" s="32" t="s">
        <v>96</v>
      </c>
      <c r="C184" s="32"/>
      <c r="D184" s="32"/>
      <c r="E184" s="28"/>
      <c r="F184" s="28"/>
      <c r="G184" s="38"/>
      <c r="H184" s="28">
        <f ca="1">+H20</f>
        <v>12234.958921894886</v>
      </c>
      <c r="I184" s="28">
        <f ca="1">+I20</f>
        <v>17641.070544638747</v>
      </c>
      <c r="J184" s="28">
        <f ca="1">+J20</f>
        <v>23345.974909220131</v>
      </c>
      <c r="K184" s="28">
        <f ca="1">+K20</f>
        <v>28143.283623982752</v>
      </c>
      <c r="L184" s="28">
        <f ca="1">+L20</f>
        <v>30622.829683765769</v>
      </c>
    </row>
    <row r="185" spans="1:12" ht="13.15" customHeight="1" x14ac:dyDescent="0.2">
      <c r="B185" s="32" t="s">
        <v>97</v>
      </c>
      <c r="C185" s="32"/>
      <c r="D185" s="32"/>
      <c r="E185" s="26">
        <v>-390</v>
      </c>
      <c r="F185" s="26">
        <v>-395</v>
      </c>
      <c r="G185" s="27">
        <v>-399</v>
      </c>
      <c r="H185" s="28">
        <f ca="1">-H188*H20</f>
        <v>-428.22356226632104</v>
      </c>
      <c r="I185" s="28">
        <f ca="1">-I188*I20</f>
        <v>-617.43746906235617</v>
      </c>
      <c r="J185" s="28">
        <f ca="1">-J188*J20</f>
        <v>-817.10912182270465</v>
      </c>
      <c r="K185" s="28">
        <f ca="1">-K188*K20</f>
        <v>-985.01492683939637</v>
      </c>
      <c r="L185" s="28">
        <f ca="1">-L188*L20</f>
        <v>-1071.799038931802</v>
      </c>
    </row>
    <row r="186" spans="1:12" s="4" customFormat="1" ht="13.15" customHeight="1" x14ac:dyDescent="0.2">
      <c r="A186" s="1"/>
      <c r="B186" s="29" t="s">
        <v>98</v>
      </c>
      <c r="C186" s="29"/>
      <c r="D186" s="29"/>
      <c r="E186" s="65"/>
      <c r="F186" s="65"/>
      <c r="G186" s="31">
        <f>+G121</f>
        <v>16235</v>
      </c>
      <c r="H186" s="30">
        <f ca="1">SUM(H183:H185)</f>
        <v>28041.735359628565</v>
      </c>
      <c r="I186" s="30">
        <f t="shared" ref="I186:L186" ca="1" si="77">SUM(I183:I185)</f>
        <v>45065.368435204953</v>
      </c>
      <c r="J186" s="30">
        <f t="shared" ca="1" si="77"/>
        <v>67594.234222602376</v>
      </c>
      <c r="K186" s="30">
        <f t="shared" ca="1" si="77"/>
        <v>94752.502919745733</v>
      </c>
      <c r="L186" s="30">
        <f t="shared" ca="1" si="77"/>
        <v>124303.5335645797</v>
      </c>
    </row>
    <row r="187" spans="1:12" ht="13.15" customHeight="1" x14ac:dyDescent="0.2">
      <c r="B187" s="32"/>
      <c r="C187" s="32"/>
      <c r="D187" s="32"/>
      <c r="E187" s="28"/>
      <c r="F187" s="28"/>
      <c r="G187" s="38"/>
      <c r="H187" s="28"/>
      <c r="I187" s="28"/>
      <c r="J187" s="28"/>
      <c r="K187" s="28"/>
      <c r="L187" s="28"/>
    </row>
    <row r="188" spans="1:12" ht="13.15" customHeight="1" x14ac:dyDescent="0.2">
      <c r="B188" s="32" t="s">
        <v>99</v>
      </c>
      <c r="C188" s="32"/>
      <c r="D188" s="32"/>
      <c r="E188" s="61">
        <f>-E185/E20</f>
        <v>0.13948497854077252</v>
      </c>
      <c r="F188" s="61">
        <f>-F185/F20</f>
        <v>9.1181902123730382E-2</v>
      </c>
      <c r="G188" s="62">
        <f>-G185/G20</f>
        <v>4.0914684167350286E-2</v>
      </c>
      <c r="H188" s="89">
        <v>3.5000000000000003E-2</v>
      </c>
      <c r="I188" s="61">
        <f t="shared" ref="I188:L188" si="78">+H188</f>
        <v>3.5000000000000003E-2</v>
      </c>
      <c r="J188" s="61">
        <f t="shared" si="78"/>
        <v>3.5000000000000003E-2</v>
      </c>
      <c r="K188" s="61">
        <f t="shared" si="78"/>
        <v>3.5000000000000003E-2</v>
      </c>
      <c r="L188" s="61">
        <f t="shared" si="78"/>
        <v>3.5000000000000003E-2</v>
      </c>
    </row>
    <row r="189" spans="1:12" ht="13.15" customHeight="1" x14ac:dyDescent="0.2">
      <c r="E189" s="28"/>
      <c r="F189" s="28"/>
      <c r="G189" s="38"/>
      <c r="H189" s="28"/>
      <c r="I189" s="28"/>
      <c r="J189" s="28"/>
      <c r="K189" s="28"/>
      <c r="L189" s="28"/>
    </row>
    <row r="190" spans="1:12" ht="13.15" customHeight="1" x14ac:dyDescent="0.2">
      <c r="A190" s="1" t="s">
        <v>0</v>
      </c>
      <c r="B190" s="16" t="s">
        <v>100</v>
      </c>
      <c r="C190" s="16"/>
      <c r="D190" s="16"/>
      <c r="E190" s="17"/>
      <c r="F190" s="17"/>
      <c r="G190" s="17"/>
      <c r="H190" s="17"/>
      <c r="I190" s="17"/>
      <c r="J190" s="17"/>
      <c r="K190" s="17"/>
      <c r="L190" s="17"/>
    </row>
    <row r="191" spans="1:12" ht="13.15" customHeight="1" x14ac:dyDescent="0.2">
      <c r="B191" s="18" t="s">
        <v>9</v>
      </c>
      <c r="C191" s="18"/>
      <c r="D191" s="18"/>
      <c r="E191" s="19"/>
      <c r="F191" s="19"/>
      <c r="G191" s="20"/>
      <c r="H191" s="21">
        <f t="shared" ref="H191:L191" si="79">+H$7</f>
        <v>44957</v>
      </c>
      <c r="I191" s="21">
        <f t="shared" si="79"/>
        <v>45322</v>
      </c>
      <c r="J191" s="21">
        <f t="shared" si="79"/>
        <v>45688</v>
      </c>
      <c r="K191" s="21">
        <f t="shared" si="79"/>
        <v>46053</v>
      </c>
      <c r="L191" s="21">
        <f t="shared" si="79"/>
        <v>46418</v>
      </c>
    </row>
    <row r="192" spans="1:12" ht="13.15" customHeight="1" x14ac:dyDescent="0.2">
      <c r="B192" s="8"/>
      <c r="C192" s="8"/>
      <c r="D192" s="8"/>
      <c r="E192" s="68"/>
      <c r="F192" s="68"/>
      <c r="G192" s="69"/>
      <c r="H192" s="68"/>
      <c r="I192" s="68"/>
      <c r="J192" s="68"/>
      <c r="K192" s="68"/>
      <c r="L192" s="68"/>
    </row>
    <row r="193" spans="2:12" ht="13.15" customHeight="1" x14ac:dyDescent="0.2">
      <c r="B193" s="32" t="s">
        <v>21</v>
      </c>
      <c r="C193" s="32"/>
      <c r="D193" s="32"/>
      <c r="E193" s="28"/>
      <c r="F193" s="28"/>
      <c r="G193" s="38"/>
      <c r="H193" s="57">
        <f ca="1">H20</f>
        <v>12234.958921894886</v>
      </c>
      <c r="I193" s="57">
        <f ca="1">I20</f>
        <v>17641.070544638747</v>
      </c>
      <c r="J193" s="57">
        <f ca="1">J20</f>
        <v>23345.974909220131</v>
      </c>
      <c r="K193" s="57">
        <f ca="1">K20</f>
        <v>28143.283623982752</v>
      </c>
      <c r="L193" s="57">
        <f ca="1">L20</f>
        <v>30622.829683765769</v>
      </c>
    </row>
    <row r="194" spans="2:12" ht="13.15" customHeight="1" x14ac:dyDescent="0.2">
      <c r="B194" s="32" t="s">
        <v>101</v>
      </c>
      <c r="C194" s="32"/>
      <c r="D194" s="32"/>
      <c r="E194" s="28"/>
      <c r="F194" s="28"/>
      <c r="G194" s="38"/>
      <c r="H194" s="28">
        <f ca="1">-SUM(H162,H176)</f>
        <v>1733.9970374999996</v>
      </c>
      <c r="I194" s="28">
        <f ca="1">-SUM(I162,I176)</f>
        <v>2050.2049434843752</v>
      </c>
      <c r="J194" s="28">
        <f ca="1">-SUM(J162,J176)</f>
        <v>2417.1113479734377</v>
      </c>
      <c r="K194" s="28">
        <f ca="1">-SUM(K162,K176)</f>
        <v>2431.9110473107949</v>
      </c>
      <c r="L194" s="28">
        <f ca="1">-SUM(L162,L176)</f>
        <v>2399.3195934598671</v>
      </c>
    </row>
    <row r="195" spans="2:12" ht="13.15" customHeight="1" x14ac:dyDescent="0.2">
      <c r="B195" s="32" t="s">
        <v>102</v>
      </c>
      <c r="C195" s="32"/>
      <c r="D195" s="32"/>
      <c r="E195" s="28"/>
      <c r="F195" s="28"/>
      <c r="G195" s="38"/>
      <c r="H195" s="28">
        <f ca="1">+H80</f>
        <v>3338.9657499999994</v>
      </c>
      <c r="I195" s="28">
        <f ca="1">+I80</f>
        <v>4273.4922850000003</v>
      </c>
      <c r="J195" s="28">
        <f ca="1">+J80</f>
        <v>5030.2783699335941</v>
      </c>
      <c r="K195" s="28">
        <f ca="1">+K80</f>
        <v>5392.1257770585207</v>
      </c>
      <c r="L195" s="28">
        <f ca="1">+L80</f>
        <v>5207.2528932736577</v>
      </c>
    </row>
    <row r="196" spans="2:12" ht="13.15" customHeight="1" x14ac:dyDescent="0.2">
      <c r="B196" s="32" t="s">
        <v>103</v>
      </c>
      <c r="C196" s="32"/>
      <c r="D196" s="32"/>
      <c r="E196" s="28"/>
      <c r="F196" s="28"/>
      <c r="G196" s="38"/>
      <c r="H196" s="28">
        <f ca="1">+H155</f>
        <v>-2255.4454945205453</v>
      </c>
      <c r="I196" s="28">
        <f ca="1">+I155</f>
        <v>-1588.8013773582525</v>
      </c>
      <c r="J196" s="28">
        <f ca="1">+J155</f>
        <v>-1326.8225026684586</v>
      </c>
      <c r="K196" s="28">
        <f ca="1">+K155</f>
        <v>-702.61962738922375</v>
      </c>
      <c r="L196" s="28">
        <f ca="1">+L155</f>
        <v>192.67880363530821</v>
      </c>
    </row>
    <row r="197" spans="2:12" ht="13.15" customHeight="1" x14ac:dyDescent="0.2">
      <c r="B197" s="32" t="s">
        <v>104</v>
      </c>
      <c r="C197" s="32"/>
      <c r="D197" s="32"/>
      <c r="E197" s="28"/>
      <c r="F197" s="28"/>
      <c r="G197" s="38"/>
      <c r="H197" s="28">
        <f>(G106-H106)</f>
        <v>0</v>
      </c>
      <c r="I197" s="28">
        <f>(H106-I106)</f>
        <v>0</v>
      </c>
      <c r="J197" s="28">
        <f>(I106-J106)</f>
        <v>0</v>
      </c>
      <c r="K197" s="28">
        <f>(J106-K106)</f>
        <v>0</v>
      </c>
      <c r="L197" s="28">
        <f>(K106-L106)</f>
        <v>0</v>
      </c>
    </row>
    <row r="198" spans="2:12" ht="13.15" customHeight="1" x14ac:dyDescent="0.2">
      <c r="B198" s="32" t="s">
        <v>105</v>
      </c>
      <c r="C198" s="32"/>
      <c r="D198" s="32"/>
      <c r="E198" s="28"/>
      <c r="F198" s="28"/>
      <c r="G198" s="38"/>
      <c r="H198" s="28">
        <f>+(H115-G115)</f>
        <v>0</v>
      </c>
      <c r="I198" s="28">
        <f t="shared" ref="I198:L198" si="80">+(I115-H115)</f>
        <v>0</v>
      </c>
      <c r="J198" s="28">
        <f t="shared" si="80"/>
        <v>0</v>
      </c>
      <c r="K198" s="28">
        <f t="shared" si="80"/>
        <v>0</v>
      </c>
      <c r="L198" s="28">
        <f t="shared" si="80"/>
        <v>0</v>
      </c>
    </row>
    <row r="199" spans="2:12" ht="13.15" customHeight="1" x14ac:dyDescent="0.2">
      <c r="B199" s="29" t="s">
        <v>106</v>
      </c>
      <c r="C199" s="29"/>
      <c r="D199" s="29"/>
      <c r="E199" s="65"/>
      <c r="F199" s="65"/>
      <c r="G199" s="88"/>
      <c r="H199" s="30">
        <f ca="1">SUM(H193:H198)</f>
        <v>15052.476214874338</v>
      </c>
      <c r="I199" s="30">
        <f ca="1">SUM(I193:I198)</f>
        <v>22375.96639576487</v>
      </c>
      <c r="J199" s="30">
        <f ca="1">SUM(J193:J198)</f>
        <v>29466.542124458705</v>
      </c>
      <c r="K199" s="30">
        <f ca="1">SUM(K193:K198)</f>
        <v>35264.70082096284</v>
      </c>
      <c r="L199" s="30">
        <f ca="1">SUM(L193:L198)</f>
        <v>38422.080974134609</v>
      </c>
    </row>
    <row r="200" spans="2:12" ht="13.15" customHeight="1" x14ac:dyDescent="0.2">
      <c r="B200" s="32"/>
      <c r="C200" s="32"/>
      <c r="D200" s="32"/>
      <c r="E200" s="28"/>
      <c r="F200" s="28"/>
      <c r="G200" s="38"/>
      <c r="H200" s="28"/>
      <c r="I200" s="28"/>
      <c r="J200" s="28"/>
      <c r="K200" s="28"/>
      <c r="L200" s="28"/>
    </row>
    <row r="201" spans="2:12" ht="13.15" customHeight="1" x14ac:dyDescent="0.2">
      <c r="B201" s="32" t="s">
        <v>107</v>
      </c>
      <c r="C201" s="32"/>
      <c r="D201" s="32"/>
      <c r="E201" s="28"/>
      <c r="F201" s="28"/>
      <c r="G201" s="38"/>
      <c r="H201" s="57">
        <f ca="1">-H161</f>
        <v>-1767.6877499999994</v>
      </c>
      <c r="I201" s="57">
        <f ca="1">-I161</f>
        <v>-2270.2927764062501</v>
      </c>
      <c r="J201" s="57">
        <f ca="1">-J161</f>
        <v>-2682.8151306312498</v>
      </c>
      <c r="K201" s="57">
        <f ca="1">-K161</f>
        <v>-2888.6388091384929</v>
      </c>
      <c r="L201" s="57">
        <f ca="1">-L161</f>
        <v>-2803.9054040704314</v>
      </c>
    </row>
    <row r="202" spans="2:12" ht="13.15" customHeight="1" x14ac:dyDescent="0.2">
      <c r="B202" s="32" t="s">
        <v>108</v>
      </c>
      <c r="C202" s="32"/>
      <c r="D202" s="32"/>
      <c r="E202" s="28"/>
      <c r="F202" s="28"/>
      <c r="G202" s="38"/>
      <c r="H202" s="28">
        <f>+(H120-G120)</f>
        <v>0</v>
      </c>
      <c r="I202" s="28">
        <f>+(I120-H120)</f>
        <v>0</v>
      </c>
      <c r="J202" s="28">
        <f>+(J120-I120)</f>
        <v>0</v>
      </c>
      <c r="K202" s="28">
        <f>+(K120-J120)</f>
        <v>0</v>
      </c>
      <c r="L202" s="28">
        <f>+(L120-K120)</f>
        <v>0</v>
      </c>
    </row>
    <row r="203" spans="2:12" ht="13.15" customHeight="1" x14ac:dyDescent="0.2">
      <c r="B203" s="29" t="s">
        <v>109</v>
      </c>
      <c r="C203" s="29"/>
      <c r="D203" s="29"/>
      <c r="E203" s="65"/>
      <c r="F203" s="65"/>
      <c r="G203" s="88"/>
      <c r="H203" s="30">
        <f ca="1">SUM(H201:H202)</f>
        <v>-1767.6877499999994</v>
      </c>
      <c r="I203" s="30">
        <f t="shared" ref="I203:L203" ca="1" si="81">SUM(I201:I202)</f>
        <v>-2270.2927764062501</v>
      </c>
      <c r="J203" s="30">
        <f t="shared" ca="1" si="81"/>
        <v>-2682.8151306312498</v>
      </c>
      <c r="K203" s="30">
        <f t="shared" ca="1" si="81"/>
        <v>-2888.6388091384929</v>
      </c>
      <c r="L203" s="30">
        <f t="shared" ca="1" si="81"/>
        <v>-2803.9054040704314</v>
      </c>
    </row>
    <row r="204" spans="2:12" ht="13.15" customHeight="1" x14ac:dyDescent="0.2">
      <c r="B204" s="32"/>
      <c r="C204" s="32"/>
      <c r="D204" s="32"/>
      <c r="E204" s="28"/>
      <c r="F204" s="28"/>
      <c r="G204" s="38"/>
      <c r="H204" s="28"/>
      <c r="I204" s="28"/>
      <c r="J204" s="28"/>
      <c r="K204" s="28"/>
      <c r="L204" s="28"/>
    </row>
    <row r="205" spans="2:12" ht="13.15" customHeight="1" x14ac:dyDescent="0.2">
      <c r="B205" s="32" t="s">
        <v>110</v>
      </c>
      <c r="C205" s="32"/>
      <c r="D205" s="32"/>
      <c r="E205" s="28"/>
      <c r="F205" s="28"/>
      <c r="G205" s="38"/>
      <c r="H205" s="57">
        <f ca="1">+H225</f>
        <v>0</v>
      </c>
      <c r="I205" s="57">
        <f ca="1">+I225</f>
        <v>0</v>
      </c>
      <c r="J205" s="57">
        <f ca="1">+J225</f>
        <v>0</v>
      </c>
      <c r="K205" s="57">
        <f ca="1">+K225</f>
        <v>0</v>
      </c>
      <c r="L205" s="57">
        <f ca="1">+L225</f>
        <v>0</v>
      </c>
    </row>
    <row r="206" spans="2:12" ht="13.15" customHeight="1" x14ac:dyDescent="0.2">
      <c r="B206" s="32" t="s">
        <v>111</v>
      </c>
      <c r="C206" s="32"/>
      <c r="D206" s="32"/>
      <c r="E206" s="28"/>
      <c r="F206" s="28"/>
      <c r="G206" s="38"/>
      <c r="H206" s="28">
        <f>+H220</f>
        <v>-21.891999999999999</v>
      </c>
      <c r="I206" s="28">
        <f ca="1">+I220</f>
        <v>-21.891999999999999</v>
      </c>
      <c r="J206" s="28">
        <f ca="1">+J220</f>
        <v>-21.891999999999999</v>
      </c>
      <c r="K206" s="28">
        <f ca="1">+K220</f>
        <v>-21.891999999999999</v>
      </c>
      <c r="L206" s="28">
        <f ca="1">+L220</f>
        <v>-21.891999999999999</v>
      </c>
    </row>
    <row r="207" spans="2:12" ht="13.15" customHeight="1" x14ac:dyDescent="0.2">
      <c r="B207" s="32" t="s">
        <v>112</v>
      </c>
      <c r="C207" s="32"/>
      <c r="D207" s="32"/>
      <c r="E207" s="28"/>
      <c r="F207" s="28"/>
      <c r="G207" s="38"/>
      <c r="H207" s="28">
        <f ca="1">+H234</f>
        <v>0</v>
      </c>
      <c r="I207" s="28">
        <f ca="1">+I234</f>
        <v>0</v>
      </c>
      <c r="J207" s="28">
        <f ca="1">+J234</f>
        <v>0</v>
      </c>
      <c r="K207" s="28">
        <f ca="1">+K234</f>
        <v>0</v>
      </c>
      <c r="L207" s="28">
        <f ca="1">+L234</f>
        <v>0</v>
      </c>
    </row>
    <row r="208" spans="2:12" ht="13.15" customHeight="1" x14ac:dyDescent="0.2">
      <c r="B208" s="32" t="s">
        <v>113</v>
      </c>
      <c r="C208" s="32"/>
      <c r="D208" s="32"/>
      <c r="E208" s="28"/>
      <c r="F208" s="28"/>
      <c r="G208" s="38"/>
      <c r="H208" s="28">
        <f ca="1">+H185</f>
        <v>-428.22356226632104</v>
      </c>
      <c r="I208" s="28">
        <f ca="1">+I185</f>
        <v>-617.43746906235617</v>
      </c>
      <c r="J208" s="28">
        <f ca="1">+J185</f>
        <v>-817.10912182270465</v>
      </c>
      <c r="K208" s="28">
        <f ca="1">+K185</f>
        <v>-985.01492683939637</v>
      </c>
      <c r="L208" s="28">
        <f ca="1">+L185</f>
        <v>-1071.799038931802</v>
      </c>
    </row>
    <row r="209" spans="1:12" ht="13.15" customHeight="1" x14ac:dyDescent="0.2">
      <c r="B209" s="29" t="s">
        <v>114</v>
      </c>
      <c r="C209" s="29"/>
      <c r="D209" s="29"/>
      <c r="E209" s="65"/>
      <c r="F209" s="65"/>
      <c r="G209" s="88"/>
      <c r="H209" s="30">
        <f ca="1">+SUM(H205:H208)</f>
        <v>-450.11556226632104</v>
      </c>
      <c r="I209" s="30">
        <f ca="1">+SUM(I205:I208)</f>
        <v>-639.32946906235622</v>
      </c>
      <c r="J209" s="30">
        <f ca="1">+SUM(J205:J208)</f>
        <v>-839.0011218227047</v>
      </c>
      <c r="K209" s="30">
        <f ca="1">+SUM(K205:K208)</f>
        <v>-1006.9069268393964</v>
      </c>
      <c r="L209" s="30">
        <f ca="1">+SUM(L205:L208)</f>
        <v>-1093.691038931802</v>
      </c>
    </row>
    <row r="210" spans="1:12" ht="13.15" customHeight="1" x14ac:dyDescent="0.2">
      <c r="B210" s="32"/>
      <c r="C210" s="32"/>
      <c r="D210" s="32"/>
      <c r="E210" s="28"/>
      <c r="F210" s="28"/>
      <c r="G210" s="38"/>
      <c r="H210" s="28"/>
      <c r="I210" s="28"/>
      <c r="J210" s="28"/>
      <c r="K210" s="28"/>
      <c r="L210" s="28"/>
    </row>
    <row r="211" spans="1:12" s="4" customFormat="1" ht="13.15" customHeight="1" x14ac:dyDescent="0.2">
      <c r="A211" s="1"/>
      <c r="B211" s="2" t="s">
        <v>115</v>
      </c>
      <c r="C211" s="2"/>
      <c r="D211" s="2"/>
      <c r="E211" s="48"/>
      <c r="F211" s="48"/>
      <c r="G211" s="49"/>
      <c r="H211" s="25">
        <f>+G213</f>
        <v>21208</v>
      </c>
      <c r="I211" s="25">
        <f ca="1">H213</f>
        <v>34042.672902608014</v>
      </c>
      <c r="J211" s="25">
        <f ca="1">I213</f>
        <v>53509.017052904281</v>
      </c>
      <c r="K211" s="25">
        <f ca="1">J213</f>
        <v>79453.742924909035</v>
      </c>
      <c r="L211" s="25">
        <f ca="1">K213</f>
        <v>110822.89800989398</v>
      </c>
    </row>
    <row r="212" spans="1:12" ht="13.15" customHeight="1" x14ac:dyDescent="0.2">
      <c r="B212" s="32" t="s">
        <v>116</v>
      </c>
      <c r="C212" s="32"/>
      <c r="D212" s="32"/>
      <c r="E212" s="28"/>
      <c r="F212" s="28"/>
      <c r="G212" s="38"/>
      <c r="H212" s="28">
        <f ca="1">+SUM(H199,H203,H209)</f>
        <v>12834.672902608017</v>
      </c>
      <c r="I212" s="28">
        <f ca="1">+SUM(I199,I203,I209)</f>
        <v>19466.344150296263</v>
      </c>
      <c r="J212" s="28">
        <f ca="1">+SUM(J199,J203,J209)</f>
        <v>25944.72587200475</v>
      </c>
      <c r="K212" s="28">
        <f ca="1">+SUM(K199,K203,K209)</f>
        <v>31369.155084984948</v>
      </c>
      <c r="L212" s="28">
        <f ca="1">+SUM(L199,L203,L209)</f>
        <v>34524.484531132381</v>
      </c>
    </row>
    <row r="213" spans="1:12" s="4" customFormat="1" ht="13.15" customHeight="1" x14ac:dyDescent="0.2">
      <c r="A213" s="1"/>
      <c r="B213" s="29" t="s">
        <v>117</v>
      </c>
      <c r="C213" s="29"/>
      <c r="D213" s="29"/>
      <c r="E213" s="65"/>
      <c r="F213" s="65"/>
      <c r="G213" s="31">
        <f>+G98</f>
        <v>21208</v>
      </c>
      <c r="H213" s="30">
        <f ca="1">SUM(H211:H212)</f>
        <v>34042.672902608014</v>
      </c>
      <c r="I213" s="30">
        <f ca="1">SUM(I211:I212)</f>
        <v>53509.017052904281</v>
      </c>
      <c r="J213" s="30">
        <f ca="1">SUM(J211:J212)</f>
        <v>79453.742924909035</v>
      </c>
      <c r="K213" s="30">
        <f ca="1">SUM(K211:K212)</f>
        <v>110822.89800989398</v>
      </c>
      <c r="L213" s="30">
        <f ca="1">SUM(L211:L212)</f>
        <v>145347.38254102637</v>
      </c>
    </row>
    <row r="214" spans="1:12" ht="13.15" customHeight="1" x14ac:dyDescent="0.2">
      <c r="B214" s="32"/>
      <c r="C214" s="32"/>
      <c r="D214" s="32"/>
      <c r="E214" s="28"/>
      <c r="F214" s="28"/>
      <c r="G214" s="38"/>
      <c r="H214" s="28"/>
      <c r="I214" s="28"/>
      <c r="J214" s="28"/>
      <c r="K214" s="28"/>
      <c r="L214" s="28"/>
    </row>
    <row r="215" spans="1:12" ht="13.15" customHeight="1" x14ac:dyDescent="0.2">
      <c r="A215" s="1" t="s">
        <v>0</v>
      </c>
      <c r="B215" s="16" t="s">
        <v>118</v>
      </c>
      <c r="C215" s="16"/>
      <c r="D215" s="16"/>
      <c r="E215" s="17"/>
      <c r="F215" s="17"/>
      <c r="G215" s="17"/>
      <c r="H215" s="17"/>
      <c r="I215" s="17"/>
      <c r="J215" s="17"/>
      <c r="K215" s="17"/>
      <c r="L215" s="17"/>
    </row>
    <row r="216" spans="1:12" ht="13.15" customHeight="1" x14ac:dyDescent="0.2">
      <c r="B216" s="18" t="s">
        <v>9</v>
      </c>
      <c r="C216" s="18"/>
      <c r="D216" s="18"/>
      <c r="E216" s="19"/>
      <c r="F216" s="19"/>
      <c r="G216" s="20"/>
      <c r="H216" s="21">
        <f t="shared" ref="H216:L216" si="82">+H$7</f>
        <v>44957</v>
      </c>
      <c r="I216" s="21">
        <f t="shared" si="82"/>
        <v>45322</v>
      </c>
      <c r="J216" s="21">
        <f t="shared" si="82"/>
        <v>45688</v>
      </c>
      <c r="K216" s="21">
        <f t="shared" si="82"/>
        <v>46053</v>
      </c>
      <c r="L216" s="21">
        <f t="shared" si="82"/>
        <v>46418</v>
      </c>
    </row>
    <row r="217" spans="1:12" ht="13.15" customHeight="1" x14ac:dyDescent="0.2">
      <c r="B217" s="8"/>
      <c r="C217" s="8"/>
      <c r="D217" s="8"/>
      <c r="E217" s="68"/>
      <c r="F217" s="68"/>
      <c r="G217" s="69"/>
      <c r="H217" s="68"/>
      <c r="I217" s="68"/>
      <c r="J217" s="68"/>
      <c r="K217" s="68"/>
      <c r="L217" s="68"/>
    </row>
    <row r="218" spans="1:12" s="4" customFormat="1" ht="13.15" customHeight="1" x14ac:dyDescent="0.2">
      <c r="A218" s="1"/>
      <c r="B218" s="2" t="s">
        <v>119</v>
      </c>
      <c r="C218" s="2"/>
      <c r="D218" s="2"/>
      <c r="E218" s="90"/>
      <c r="F218" s="48"/>
      <c r="G218" s="49"/>
      <c r="H218" s="25">
        <f ca="1">H199+H203+H208</f>
        <v>12856.564902608017</v>
      </c>
      <c r="I218" s="25">
        <f t="shared" ref="I218:L218" ca="1" si="83">I199+I203+I208</f>
        <v>19488.236150296263</v>
      </c>
      <c r="J218" s="25">
        <f t="shared" ca="1" si="83"/>
        <v>25966.61787200475</v>
      </c>
      <c r="K218" s="25">
        <f t="shared" ca="1" si="83"/>
        <v>31391.047084984948</v>
      </c>
      <c r="L218" s="25">
        <f t="shared" ca="1" si="83"/>
        <v>34546.37653113238</v>
      </c>
    </row>
    <row r="219" spans="1:12" ht="13.15" customHeight="1" x14ac:dyDescent="0.2">
      <c r="B219" s="32" t="s">
        <v>120</v>
      </c>
      <c r="C219" s="32"/>
      <c r="D219" s="32"/>
      <c r="E219" s="66"/>
      <c r="F219" s="28"/>
      <c r="G219" s="38"/>
      <c r="H219" s="28">
        <f>G98</f>
        <v>21208</v>
      </c>
      <c r="I219" s="28">
        <f ca="1">H98</f>
        <v>34042.672902608014</v>
      </c>
      <c r="J219" s="28">
        <f ca="1">I98</f>
        <v>53509.017052904281</v>
      </c>
      <c r="K219" s="28">
        <f ca="1">J98</f>
        <v>79453.742924909035</v>
      </c>
      <c r="L219" s="28">
        <f ca="1">K98</f>
        <v>110822.89800989398</v>
      </c>
    </row>
    <row r="220" spans="1:12" ht="13.15" customHeight="1" x14ac:dyDescent="0.2">
      <c r="B220" s="32" t="s">
        <v>121</v>
      </c>
      <c r="C220" s="32"/>
      <c r="D220" s="32"/>
      <c r="E220" s="32"/>
      <c r="F220" s="66"/>
      <c r="G220" s="38"/>
      <c r="H220" s="28">
        <f>+H233</f>
        <v>-21.891999999999999</v>
      </c>
      <c r="I220" s="28">
        <f ca="1">+I233</f>
        <v>-21.891999999999999</v>
      </c>
      <c r="J220" s="28">
        <f ca="1">+J233</f>
        <v>-21.891999999999999</v>
      </c>
      <c r="K220" s="28">
        <f ca="1">+K233</f>
        <v>-21.891999999999999</v>
      </c>
      <c r="L220" s="28">
        <f ca="1">+L233</f>
        <v>-21.891999999999999</v>
      </c>
    </row>
    <row r="221" spans="1:12" ht="13.15" customHeight="1" x14ac:dyDescent="0.2">
      <c r="B221" s="32" t="s">
        <v>122</v>
      </c>
      <c r="C221" s="32"/>
      <c r="D221" s="32"/>
      <c r="E221" s="32"/>
      <c r="F221" s="91">
        <v>100</v>
      </c>
      <c r="G221" s="38"/>
      <c r="H221" s="28">
        <f>-$F$221</f>
        <v>-100</v>
      </c>
      <c r="I221" s="66">
        <f>-$F$221</f>
        <v>-100</v>
      </c>
      <c r="J221" s="66">
        <f>-$F$221</f>
        <v>-100</v>
      </c>
      <c r="K221" s="66">
        <f>-$F$221</f>
        <v>-100</v>
      </c>
      <c r="L221" s="66">
        <f>-$F$221</f>
        <v>-100</v>
      </c>
    </row>
    <row r="222" spans="1:12" s="4" customFormat="1" ht="13.15" customHeight="1" x14ac:dyDescent="0.2">
      <c r="A222" s="1"/>
      <c r="B222" s="29" t="s">
        <v>123</v>
      </c>
      <c r="C222" s="29"/>
      <c r="D222" s="29"/>
      <c r="E222" s="29"/>
      <c r="F222" s="92"/>
      <c r="G222" s="88"/>
      <c r="H222" s="30">
        <f ca="1">SUM(H218:H221)</f>
        <v>33942.672902608021</v>
      </c>
      <c r="I222" s="30">
        <f t="shared" ref="I222:L222" ca="1" si="84">SUM(I218:I221)</f>
        <v>53409.017052904273</v>
      </c>
      <c r="J222" s="30">
        <f t="shared" ca="1" si="84"/>
        <v>79353.74292490902</v>
      </c>
      <c r="K222" s="30">
        <f t="shared" ca="1" si="84"/>
        <v>110722.89800989398</v>
      </c>
      <c r="L222" s="30">
        <f t="shared" ca="1" si="84"/>
        <v>145247.38254102637</v>
      </c>
    </row>
    <row r="223" spans="1:12" ht="13.15" customHeight="1" x14ac:dyDescent="0.2">
      <c r="B223" s="32"/>
      <c r="C223" s="32"/>
      <c r="D223" s="32"/>
      <c r="E223" s="32"/>
      <c r="F223" s="93"/>
      <c r="G223" s="38"/>
      <c r="H223" s="28"/>
      <c r="I223" s="28"/>
      <c r="J223" s="28"/>
      <c r="K223" s="28"/>
      <c r="L223" s="28"/>
    </row>
    <row r="224" spans="1:12" s="4" customFormat="1" ht="13.15" customHeight="1" x14ac:dyDescent="0.2">
      <c r="A224" s="1"/>
      <c r="B224" s="2" t="s">
        <v>124</v>
      </c>
      <c r="C224" s="2"/>
      <c r="D224" s="2"/>
      <c r="E224" s="2"/>
      <c r="F224" s="94"/>
      <c r="G224" s="49"/>
      <c r="H224" s="25">
        <f>+G226</f>
        <v>0</v>
      </c>
      <c r="I224" s="25">
        <f ca="1">H226</f>
        <v>0</v>
      </c>
      <c r="J224" s="25">
        <f ca="1">I226</f>
        <v>0</v>
      </c>
      <c r="K224" s="25">
        <f ca="1">J226</f>
        <v>0</v>
      </c>
      <c r="L224" s="25">
        <f ca="1">K226</f>
        <v>0</v>
      </c>
    </row>
    <row r="225" spans="1:12" ht="13.15" customHeight="1" x14ac:dyDescent="0.2">
      <c r="B225" s="32" t="s">
        <v>125</v>
      </c>
      <c r="C225" s="32"/>
      <c r="D225" s="32"/>
      <c r="E225" s="32"/>
      <c r="F225" s="13"/>
      <c r="G225" s="38"/>
      <c r="H225" s="28">
        <f ca="1">MIN(H227,-MIN(H224,H222))</f>
        <v>0</v>
      </c>
      <c r="I225" s="28">
        <f t="shared" ref="I225:L225" ca="1" si="85">MIN(I227,-MIN(I224,I222))</f>
        <v>0</v>
      </c>
      <c r="J225" s="28">
        <f t="shared" ca="1" si="85"/>
        <v>0</v>
      </c>
      <c r="K225" s="28">
        <f t="shared" ca="1" si="85"/>
        <v>0</v>
      </c>
      <c r="L225" s="28">
        <f t="shared" ca="1" si="85"/>
        <v>0</v>
      </c>
    </row>
    <row r="226" spans="1:12" s="4" customFormat="1" ht="13.15" customHeight="1" x14ac:dyDescent="0.2">
      <c r="A226" s="1"/>
      <c r="B226" s="29" t="s">
        <v>126</v>
      </c>
      <c r="C226" s="29"/>
      <c r="D226" s="29"/>
      <c r="E226" s="29"/>
      <c r="F226" s="92"/>
      <c r="G226" s="31">
        <f>+G113</f>
        <v>0</v>
      </c>
      <c r="H226" s="30">
        <f ca="1">SUM(H224:H225)</f>
        <v>0</v>
      </c>
      <c r="I226" s="30">
        <f t="shared" ref="I226:L226" ca="1" si="86">SUM(I224:I225)</f>
        <v>0</v>
      </c>
      <c r="J226" s="30">
        <f t="shared" ca="1" si="86"/>
        <v>0</v>
      </c>
      <c r="K226" s="30">
        <f t="shared" ca="1" si="86"/>
        <v>0</v>
      </c>
      <c r="L226" s="30">
        <f t="shared" ca="1" si="86"/>
        <v>0</v>
      </c>
    </row>
    <row r="227" spans="1:12" ht="13.15" customHeight="1" x14ac:dyDescent="0.2">
      <c r="B227" s="32" t="s">
        <v>127</v>
      </c>
      <c r="C227" s="32"/>
      <c r="D227" s="32"/>
      <c r="E227" s="32"/>
      <c r="F227" s="95">
        <v>575</v>
      </c>
      <c r="G227" s="38"/>
      <c r="H227" s="57">
        <f>+$F$227-H224</f>
        <v>575</v>
      </c>
      <c r="I227" s="57">
        <f ca="1">+$F$227-I224</f>
        <v>575</v>
      </c>
      <c r="J227" s="57">
        <f ca="1">+$F$227-J224</f>
        <v>575</v>
      </c>
      <c r="K227" s="57">
        <f ca="1">+$F$227-K224</f>
        <v>575</v>
      </c>
      <c r="L227" s="57">
        <f ca="1">+$F$227-L224</f>
        <v>575</v>
      </c>
    </row>
    <row r="228" spans="1:12" ht="13.15" customHeight="1" x14ac:dyDescent="0.2">
      <c r="B228" s="32" t="s">
        <v>128</v>
      </c>
      <c r="C228" s="32"/>
      <c r="D228" s="32"/>
      <c r="E228" s="32"/>
      <c r="F228" s="93"/>
      <c r="G228" s="38"/>
      <c r="H228" s="57">
        <f ca="1">+H227-H225</f>
        <v>575</v>
      </c>
      <c r="I228" s="57">
        <f t="shared" ref="I228:K228" ca="1" si="87">+I227-I225</f>
        <v>575</v>
      </c>
      <c r="J228" s="57">
        <f t="shared" ca="1" si="87"/>
        <v>575</v>
      </c>
      <c r="K228" s="57">
        <f t="shared" ca="1" si="87"/>
        <v>575</v>
      </c>
      <c r="L228" s="57">
        <f ca="1">+L227-L225</f>
        <v>575</v>
      </c>
    </row>
    <row r="229" spans="1:12" ht="13.15" customHeight="1" x14ac:dyDescent="0.2">
      <c r="B229" s="32"/>
      <c r="C229" s="32"/>
      <c r="D229" s="32"/>
      <c r="E229" s="32"/>
      <c r="F229" s="93"/>
      <c r="G229" s="27"/>
      <c r="H229" s="28"/>
      <c r="I229" s="28"/>
      <c r="J229" s="28"/>
      <c r="K229" s="28"/>
      <c r="L229" s="28"/>
    </row>
    <row r="230" spans="1:12" ht="13.15" customHeight="1" x14ac:dyDescent="0.2">
      <c r="B230" s="29" t="s">
        <v>129</v>
      </c>
      <c r="C230" s="29"/>
      <c r="D230" s="29"/>
      <c r="E230" s="29"/>
      <c r="F230" s="92"/>
      <c r="G230" s="88"/>
      <c r="H230" s="30">
        <f ca="1">+SUM(H222,H225)</f>
        <v>33942.672902608021</v>
      </c>
      <c r="I230" s="30">
        <f ca="1">+SUM(I222,I225)</f>
        <v>53409.017052904273</v>
      </c>
      <c r="J230" s="30">
        <f ca="1">+SUM(J222,J225)</f>
        <v>79353.74292490902</v>
      </c>
      <c r="K230" s="30">
        <f ca="1">+SUM(K222,K225)</f>
        <v>110722.89800989398</v>
      </c>
      <c r="L230" s="30">
        <f ca="1">+SUM(L222,L225)</f>
        <v>145247.38254102637</v>
      </c>
    </row>
    <row r="231" spans="1:12" ht="13.15" customHeight="1" x14ac:dyDescent="0.2">
      <c r="B231" s="32"/>
      <c r="C231" s="32"/>
      <c r="D231" s="32"/>
      <c r="E231" s="32"/>
      <c r="F231" s="93"/>
      <c r="G231" s="38"/>
      <c r="H231" s="28"/>
      <c r="I231" s="28"/>
      <c r="J231" s="28"/>
      <c r="K231" s="28"/>
      <c r="L231" s="28"/>
    </row>
    <row r="232" spans="1:12" s="4" customFormat="1" ht="13.15" customHeight="1" x14ac:dyDescent="0.2">
      <c r="A232" s="1"/>
      <c r="B232" s="2" t="s">
        <v>130</v>
      </c>
      <c r="C232" s="2"/>
      <c r="D232" s="2"/>
      <c r="E232" s="2"/>
      <c r="F232" s="94"/>
      <c r="G232" s="49"/>
      <c r="H232" s="25">
        <f>+G235</f>
        <v>10946</v>
      </c>
      <c r="I232" s="25">
        <f ca="1">H235</f>
        <v>10924.108</v>
      </c>
      <c r="J232" s="25">
        <f ca="1">I235</f>
        <v>10902.216</v>
      </c>
      <c r="K232" s="25">
        <f ca="1">J235</f>
        <v>10880.324000000001</v>
      </c>
      <c r="L232" s="25">
        <f ca="1">K235</f>
        <v>10858.432000000001</v>
      </c>
    </row>
    <row r="233" spans="1:12" ht="13.15" customHeight="1" x14ac:dyDescent="0.2">
      <c r="B233" s="32" t="s">
        <v>121</v>
      </c>
      <c r="C233" s="32"/>
      <c r="D233" s="32"/>
      <c r="E233" s="32"/>
      <c r="F233" s="15">
        <v>2E-3</v>
      </c>
      <c r="G233" s="38"/>
      <c r="H233" s="28">
        <f>-MIN($H$232*$F$233,H232)</f>
        <v>-21.891999999999999</v>
      </c>
      <c r="I233" s="28">
        <f ca="1">-MIN($H$232*$F$233,I232)</f>
        <v>-21.891999999999999</v>
      </c>
      <c r="J233" s="28">
        <f ca="1">-MIN($H$232*$F$233,J232)</f>
        <v>-21.891999999999999</v>
      </c>
      <c r="K233" s="28">
        <f ca="1">-MIN($H$232*$F$233,K232)</f>
        <v>-21.891999999999999</v>
      </c>
      <c r="L233" s="28">
        <f ca="1">-MIN($H$232*$F$233,L232)</f>
        <v>-21.891999999999999</v>
      </c>
    </row>
    <row r="234" spans="1:12" ht="13.15" customHeight="1" x14ac:dyDescent="0.2">
      <c r="B234" s="32" t="s">
        <v>131</v>
      </c>
      <c r="C234" s="32"/>
      <c r="D234" s="32"/>
      <c r="E234" s="32"/>
      <c r="F234" s="96">
        <v>0</v>
      </c>
      <c r="G234" s="38"/>
      <c r="H234" s="28">
        <f ca="1">-MIN(SUM(H232:H233),H230)*$F$234</f>
        <v>0</v>
      </c>
      <c r="I234" s="28">
        <f ca="1">-MIN(SUM(I232:I233),I230)*$F$234</f>
        <v>0</v>
      </c>
      <c r="J234" s="28">
        <f ca="1">-MIN(SUM(J232:J233),J230)*$F$234</f>
        <v>0</v>
      </c>
      <c r="K234" s="28">
        <f ca="1">-MIN(SUM(K232:K233),K230)*$F$234</f>
        <v>0</v>
      </c>
      <c r="L234" s="28">
        <f ca="1">-MIN(SUM(L232:L233),L230)*$F$234</f>
        <v>0</v>
      </c>
    </row>
    <row r="235" spans="1:12" s="4" customFormat="1" ht="13.15" customHeight="1" x14ac:dyDescent="0.2">
      <c r="A235" s="1"/>
      <c r="B235" s="29" t="s">
        <v>132</v>
      </c>
      <c r="C235" s="29"/>
      <c r="D235" s="29"/>
      <c r="E235" s="29"/>
      <c r="F235" s="65"/>
      <c r="G235" s="31">
        <f>+G114</f>
        <v>10946</v>
      </c>
      <c r="H235" s="30">
        <f ca="1">+SUM(H232:H234)</f>
        <v>10924.108</v>
      </c>
      <c r="I235" s="30">
        <f ca="1">+SUM(I232:I234)</f>
        <v>10902.216</v>
      </c>
      <c r="J235" s="30">
        <f ca="1">+SUM(J232:J234)</f>
        <v>10880.324000000001</v>
      </c>
      <c r="K235" s="30">
        <f ca="1">+SUM(K232:K234)</f>
        <v>10858.432000000001</v>
      </c>
      <c r="L235" s="30">
        <f ca="1">+SUM(L232:L234)</f>
        <v>10836.54</v>
      </c>
    </row>
    <row r="236" spans="1:12" ht="13.15" customHeight="1" x14ac:dyDescent="0.2">
      <c r="B236" s="32"/>
      <c r="C236" s="32"/>
      <c r="D236" s="93"/>
      <c r="E236" s="66"/>
      <c r="F236" s="28"/>
      <c r="G236" s="38"/>
      <c r="H236" s="28"/>
      <c r="I236" s="28"/>
      <c r="J236" s="28"/>
      <c r="K236" s="28"/>
      <c r="L236" s="28"/>
    </row>
    <row r="237" spans="1:12" ht="13.15" customHeight="1" x14ac:dyDescent="0.2">
      <c r="A237" s="1" t="s">
        <v>0</v>
      </c>
      <c r="B237" s="16" t="s">
        <v>133</v>
      </c>
      <c r="C237" s="16"/>
      <c r="D237" s="16"/>
      <c r="E237" s="17"/>
      <c r="F237" s="17"/>
      <c r="G237" s="17"/>
      <c r="H237" s="17"/>
      <c r="I237" s="17"/>
      <c r="J237" s="17"/>
      <c r="K237" s="17"/>
      <c r="L237" s="17"/>
    </row>
    <row r="238" spans="1:12" ht="13.15" customHeight="1" x14ac:dyDescent="0.2">
      <c r="B238" s="18" t="s">
        <v>9</v>
      </c>
      <c r="C238" s="18"/>
      <c r="D238" s="18"/>
      <c r="E238" s="19"/>
      <c r="F238" s="19"/>
      <c r="G238" s="20"/>
      <c r="H238" s="21">
        <f t="shared" ref="H238:L238" si="88">+H$7</f>
        <v>44957</v>
      </c>
      <c r="I238" s="21">
        <f t="shared" si="88"/>
        <v>45322</v>
      </c>
      <c r="J238" s="21">
        <f t="shared" si="88"/>
        <v>45688</v>
      </c>
      <c r="K238" s="21">
        <f t="shared" si="88"/>
        <v>46053</v>
      </c>
      <c r="L238" s="21">
        <f t="shared" si="88"/>
        <v>46418</v>
      </c>
    </row>
    <row r="239" spans="1:12" ht="13.15" customHeight="1" x14ac:dyDescent="0.2">
      <c r="B239" s="8"/>
      <c r="C239" s="8"/>
      <c r="D239" s="8"/>
      <c r="E239" s="68"/>
      <c r="F239" s="68"/>
      <c r="G239" s="69"/>
      <c r="H239" s="68"/>
      <c r="I239" s="68"/>
      <c r="J239" s="68"/>
      <c r="K239" s="68"/>
      <c r="L239" s="68"/>
    </row>
    <row r="240" spans="1:12" ht="13.15" customHeight="1" x14ac:dyDescent="0.2">
      <c r="B240" s="32" t="s">
        <v>134</v>
      </c>
      <c r="C240" s="32"/>
      <c r="D240" s="93"/>
      <c r="E240" s="66"/>
      <c r="F240" s="28"/>
      <c r="G240" s="27"/>
      <c r="H240" s="57">
        <f ca="1">-IF(Circ=0,0,AVERAGE(G226,H226)*H241)</f>
        <v>0</v>
      </c>
      <c r="I240" s="57">
        <f ca="1">-IF(Circ=0,0,AVERAGE(H226,I226)*I241)</f>
        <v>0</v>
      </c>
      <c r="J240" s="57">
        <f ca="1">-IF(Circ=0,0,AVERAGE(I226,J226)*J241)</f>
        <v>0</v>
      </c>
      <c r="K240" s="57">
        <f ca="1">-IF(Circ=0,0,AVERAGE(J226,K226)*K241)</f>
        <v>0</v>
      </c>
      <c r="L240" s="57">
        <f ca="1">-IF(Circ=0,0,AVERAGE(K226,L226)*L241)</f>
        <v>0</v>
      </c>
    </row>
    <row r="241" spans="1:12" ht="13.15" customHeight="1" x14ac:dyDescent="0.2">
      <c r="B241" s="13" t="s">
        <v>135</v>
      </c>
      <c r="E241" s="13"/>
      <c r="F241" s="15">
        <v>1.4999999999999999E-2</v>
      </c>
      <c r="G241" s="38"/>
      <c r="H241" s="61">
        <f>+$F241</f>
        <v>1.4999999999999999E-2</v>
      </c>
      <c r="I241" s="61">
        <f>+$F241</f>
        <v>1.4999999999999999E-2</v>
      </c>
      <c r="J241" s="61">
        <f>+$F241</f>
        <v>1.4999999999999999E-2</v>
      </c>
      <c r="K241" s="61">
        <f>+$F241</f>
        <v>1.4999999999999999E-2</v>
      </c>
      <c r="L241" s="61">
        <f>+$F241</f>
        <v>1.4999999999999999E-2</v>
      </c>
    </row>
    <row r="242" spans="1:12" ht="13.15" customHeight="1" x14ac:dyDescent="0.2">
      <c r="B242" s="32" t="s">
        <v>136</v>
      </c>
      <c r="C242" s="32"/>
      <c r="D242" s="32"/>
      <c r="E242" s="32"/>
      <c r="F242" s="93"/>
      <c r="G242" s="67"/>
      <c r="H242" s="57">
        <f ca="1">-IF(Circ=0,0,AVERAGE(G235,H235)*H243)</f>
        <v>-382.72689000000003</v>
      </c>
      <c r="I242" s="57">
        <f ca="1">-IF(Circ=0,0,AVERAGE(H235,I235)*I243)</f>
        <v>-381.96067000000005</v>
      </c>
      <c r="J242" s="57">
        <f ca="1">-IF(Circ=0,0,AVERAGE(I235,J235)*J243)</f>
        <v>-381.19445000000007</v>
      </c>
      <c r="K242" s="57">
        <f ca="1">-IF(Circ=0,0,AVERAGE(J235,K235)*K243)</f>
        <v>-380.42823000000004</v>
      </c>
      <c r="L242" s="57">
        <f ca="1">-IF(Circ=0,0,AVERAGE(K235,L235)*L243)</f>
        <v>-379.66201000000007</v>
      </c>
    </row>
    <row r="243" spans="1:12" ht="13.15" customHeight="1" x14ac:dyDescent="0.2">
      <c r="B243" s="13" t="s">
        <v>137</v>
      </c>
      <c r="E243" s="13"/>
      <c r="F243" s="15">
        <v>3.5000000000000003E-2</v>
      </c>
      <c r="G243" s="67"/>
      <c r="H243" s="61">
        <f>+$F243</f>
        <v>3.5000000000000003E-2</v>
      </c>
      <c r="I243" s="61">
        <f>+$F243</f>
        <v>3.5000000000000003E-2</v>
      </c>
      <c r="J243" s="61">
        <f>+$F243</f>
        <v>3.5000000000000003E-2</v>
      </c>
      <c r="K243" s="61">
        <f>+$F243</f>
        <v>3.5000000000000003E-2</v>
      </c>
      <c r="L243" s="61">
        <f>+$F243</f>
        <v>3.5000000000000003E-2</v>
      </c>
    </row>
    <row r="244" spans="1:12" s="4" customFormat="1" ht="13.15" customHeight="1" x14ac:dyDescent="0.2">
      <c r="A244" s="1"/>
      <c r="B244" s="85" t="s">
        <v>138</v>
      </c>
      <c r="C244" s="85"/>
      <c r="D244" s="85"/>
      <c r="E244" s="85"/>
      <c r="F244" s="85"/>
      <c r="G244" s="97"/>
      <c r="H244" s="98">
        <f ca="1">+H240+H242</f>
        <v>-382.72689000000003</v>
      </c>
      <c r="I244" s="98">
        <f t="shared" ref="I244:L244" ca="1" si="89">+I240+I242</f>
        <v>-381.96067000000005</v>
      </c>
      <c r="J244" s="98">
        <f t="shared" ca="1" si="89"/>
        <v>-381.19445000000007</v>
      </c>
      <c r="K244" s="98">
        <f t="shared" ca="1" si="89"/>
        <v>-380.42823000000004</v>
      </c>
      <c r="L244" s="98">
        <f t="shared" ca="1" si="89"/>
        <v>-379.66201000000007</v>
      </c>
    </row>
    <row r="245" spans="1:12" ht="13.15" customHeight="1" x14ac:dyDescent="0.2">
      <c r="E245" s="13"/>
      <c r="F245" s="99"/>
      <c r="G245" s="67"/>
      <c r="H245" s="28"/>
      <c r="I245" s="28"/>
      <c r="J245" s="28"/>
      <c r="K245" s="28"/>
      <c r="L245" s="28"/>
    </row>
    <row r="246" spans="1:12" ht="13.15" customHeight="1" x14ac:dyDescent="0.2">
      <c r="B246" s="32" t="s">
        <v>139</v>
      </c>
      <c r="C246" s="32"/>
      <c r="D246" s="32"/>
      <c r="E246" s="32"/>
      <c r="F246" s="93"/>
      <c r="G246" s="67"/>
      <c r="H246" s="57">
        <f ca="1">IF(Circ=0,0,AVERAGE(G213,H213)*H247)</f>
        <v>27.625336451304008</v>
      </c>
      <c r="I246" s="57">
        <f ca="1">IF(Circ=0,0,AVERAGE(H213,I213)*I247)</f>
        <v>43.775844977756151</v>
      </c>
      <c r="J246" s="57">
        <f ca="1">IF(Circ=0,0,AVERAGE(I213,J213)*J247)</f>
        <v>66.481379988906653</v>
      </c>
      <c r="K246" s="57">
        <f ca="1">IF(Circ=0,0,AVERAGE(J213,K213)*K247)</f>
        <v>95.138320467401499</v>
      </c>
      <c r="L246" s="57">
        <f ca="1">IF(Circ=0,0,AVERAGE(K213,L213)*L247)</f>
        <v>128.08514027546016</v>
      </c>
    </row>
    <row r="247" spans="1:12" ht="13.15" customHeight="1" x14ac:dyDescent="0.2">
      <c r="B247" s="32" t="s">
        <v>140</v>
      </c>
      <c r="C247" s="32"/>
      <c r="D247" s="32"/>
      <c r="E247" s="32"/>
      <c r="F247" s="96">
        <v>1E-3</v>
      </c>
      <c r="G247" s="67"/>
      <c r="H247" s="61">
        <f>+$F247</f>
        <v>1E-3</v>
      </c>
      <c r="I247" s="61">
        <f>+$F247</f>
        <v>1E-3</v>
      </c>
      <c r="J247" s="61">
        <f>+$F247</f>
        <v>1E-3</v>
      </c>
      <c r="K247" s="61">
        <f>+$F247</f>
        <v>1E-3</v>
      </c>
      <c r="L247" s="61">
        <f>+$F247</f>
        <v>1E-3</v>
      </c>
    </row>
    <row r="248" spans="1:12" s="4" customFormat="1" ht="13.15" customHeight="1" x14ac:dyDescent="0.2">
      <c r="A248" s="1"/>
      <c r="B248" s="85" t="s">
        <v>139</v>
      </c>
      <c r="C248" s="85"/>
      <c r="D248" s="85"/>
      <c r="E248" s="85"/>
      <c r="F248" s="85"/>
      <c r="G248" s="97"/>
      <c r="H248" s="98">
        <f ca="1">+H246</f>
        <v>27.625336451304008</v>
      </c>
      <c r="I248" s="98">
        <f t="shared" ref="I248:L248" ca="1" si="90">+I246</f>
        <v>43.775844977756151</v>
      </c>
      <c r="J248" s="98">
        <f t="shared" ca="1" si="90"/>
        <v>66.481379988906653</v>
      </c>
      <c r="K248" s="98">
        <f t="shared" ca="1" si="90"/>
        <v>95.138320467401499</v>
      </c>
      <c r="L248" s="98">
        <f t="shared" ca="1" si="90"/>
        <v>128.08514027546016</v>
      </c>
    </row>
    <row r="249" spans="1:12" ht="13.15" customHeight="1" x14ac:dyDescent="0.2">
      <c r="F249" s="66"/>
      <c r="G249" s="67"/>
    </row>
    <row r="250" spans="1:12" ht="13.15" customHeight="1" x14ac:dyDescent="0.2">
      <c r="A250" s="1" t="s">
        <v>0</v>
      </c>
      <c r="B250" s="16" t="s">
        <v>141</v>
      </c>
      <c r="C250" s="16"/>
      <c r="D250" s="16"/>
      <c r="E250" s="17"/>
      <c r="F250" s="17"/>
      <c r="G250" s="17"/>
      <c r="H250" s="17"/>
      <c r="I250" s="17"/>
      <c r="J250" s="17"/>
      <c r="K250" s="17"/>
      <c r="L250" s="17"/>
    </row>
    <row r="251" spans="1:12" ht="13.15" customHeight="1" x14ac:dyDescent="0.2">
      <c r="B251" s="18" t="s">
        <v>9</v>
      </c>
      <c r="C251" s="18"/>
      <c r="D251" s="18"/>
      <c r="E251" s="19">
        <f>+E$7</f>
        <v>43856</v>
      </c>
      <c r="F251" s="19">
        <f t="shared" ref="F251:L251" si="91">+F$7</f>
        <v>44227</v>
      </c>
      <c r="G251" s="20">
        <f t="shared" si="91"/>
        <v>44592</v>
      </c>
      <c r="H251" s="21">
        <f t="shared" si="91"/>
        <v>44957</v>
      </c>
      <c r="I251" s="21">
        <f t="shared" si="91"/>
        <v>45322</v>
      </c>
      <c r="J251" s="21">
        <f t="shared" si="91"/>
        <v>45688</v>
      </c>
      <c r="K251" s="21">
        <f t="shared" si="91"/>
        <v>46053</v>
      </c>
      <c r="L251" s="21">
        <f t="shared" si="91"/>
        <v>46418</v>
      </c>
    </row>
    <row r="252" spans="1:12" ht="13.15" customHeight="1" x14ac:dyDescent="0.2">
      <c r="B252" s="8"/>
      <c r="C252" s="8"/>
      <c r="D252" s="8"/>
      <c r="E252" s="68"/>
      <c r="F252" s="68"/>
      <c r="G252" s="69"/>
      <c r="H252" s="68"/>
      <c r="I252" s="68"/>
      <c r="J252" s="68"/>
      <c r="K252" s="68"/>
      <c r="L252" s="68"/>
    </row>
    <row r="253" spans="1:12" ht="13.15" customHeight="1" x14ac:dyDescent="0.2">
      <c r="B253" s="32" t="s">
        <v>142</v>
      </c>
      <c r="C253" s="32"/>
      <c r="D253" s="32"/>
      <c r="E253" s="26">
        <v>2439</v>
      </c>
      <c r="F253" s="26">
        <v>2467</v>
      </c>
      <c r="G253" s="27">
        <v>2496</v>
      </c>
      <c r="H253" s="28">
        <f>+G253</f>
        <v>2496</v>
      </c>
      <c r="I253" s="28">
        <f>+H253</f>
        <v>2496</v>
      </c>
      <c r="J253" s="28">
        <f t="shared" ref="J253:L253" si="92">+I253</f>
        <v>2496</v>
      </c>
      <c r="K253" s="28">
        <f t="shared" si="92"/>
        <v>2496</v>
      </c>
      <c r="L253" s="28">
        <f t="shared" si="92"/>
        <v>2496</v>
      </c>
    </row>
    <row r="254" spans="1:12" s="100" customFormat="1" ht="13.15" customHeight="1" x14ac:dyDescent="0.2">
      <c r="A254" s="1"/>
      <c r="B254" s="32" t="s">
        <v>143</v>
      </c>
      <c r="C254" s="32"/>
      <c r="D254" s="32"/>
      <c r="E254" s="66">
        <f t="shared" ref="E254:L254" si="93">+E255-E253</f>
        <v>33</v>
      </c>
      <c r="F254" s="66">
        <f t="shared" si="93"/>
        <v>43</v>
      </c>
      <c r="G254" s="67">
        <f t="shared" si="93"/>
        <v>39</v>
      </c>
      <c r="H254" s="66">
        <f t="shared" si="93"/>
        <v>39</v>
      </c>
      <c r="I254" s="66">
        <f t="shared" si="93"/>
        <v>39</v>
      </c>
      <c r="J254" s="66">
        <f t="shared" si="93"/>
        <v>39</v>
      </c>
      <c r="K254" s="66">
        <f t="shared" si="93"/>
        <v>39</v>
      </c>
      <c r="L254" s="66">
        <f t="shared" si="93"/>
        <v>39</v>
      </c>
    </row>
    <row r="255" spans="1:12" ht="13.15" customHeight="1" x14ac:dyDescent="0.2">
      <c r="B255" s="32" t="s">
        <v>144</v>
      </c>
      <c r="C255" s="32"/>
      <c r="D255" s="32"/>
      <c r="E255" s="26">
        <v>2472</v>
      </c>
      <c r="F255" s="26">
        <v>2510</v>
      </c>
      <c r="G255" s="27">
        <v>2535</v>
      </c>
      <c r="H255" s="28">
        <f>+H253+G255-G253</f>
        <v>2535</v>
      </c>
      <c r="I255" s="28">
        <f>+I253+H255-H253</f>
        <v>2535</v>
      </c>
      <c r="J255" s="28">
        <f>+J253+I255-I253</f>
        <v>2535</v>
      </c>
      <c r="K255" s="28">
        <f>+K253+J255-J253</f>
        <v>2535</v>
      </c>
      <c r="L255" s="28">
        <f>+L253+K255-K253</f>
        <v>2535</v>
      </c>
    </row>
    <row r="256" spans="1:12" ht="13.15" customHeight="1" x14ac:dyDescent="0.2">
      <c r="G256" s="22"/>
    </row>
    <row r="257" spans="2:12" ht="13.15" customHeight="1" x14ac:dyDescent="0.2">
      <c r="B257" s="32" t="s">
        <v>145</v>
      </c>
      <c r="C257" s="32"/>
      <c r="D257" s="32"/>
      <c r="E257" s="101">
        <f t="shared" ref="E257:L257" si="94">+E$20/E253</f>
        <v>1.1463714637146372</v>
      </c>
      <c r="F257" s="101">
        <f t="shared" si="94"/>
        <v>1.7559789217673287</v>
      </c>
      <c r="G257" s="102">
        <f t="shared" si="94"/>
        <v>3.9070512820512819</v>
      </c>
      <c r="H257" s="101">
        <f t="shared" ca="1" si="94"/>
        <v>4.9018264911437841</v>
      </c>
      <c r="I257" s="101">
        <f t="shared" ca="1" si="94"/>
        <v>7.0677365964097545</v>
      </c>
      <c r="J257" s="101">
        <f t="shared" ca="1" si="94"/>
        <v>9.3533553322196035</v>
      </c>
      <c r="K257" s="101">
        <f t="shared" ca="1" si="94"/>
        <v>11.275354016018731</v>
      </c>
      <c r="L257" s="101">
        <f t="shared" ca="1" si="94"/>
        <v>12.268761892534362</v>
      </c>
    </row>
    <row r="258" spans="2:12" ht="13.15" customHeight="1" x14ac:dyDescent="0.2">
      <c r="B258" s="32" t="s">
        <v>146</v>
      </c>
      <c r="C258" s="32"/>
      <c r="D258" s="32"/>
      <c r="E258" s="101">
        <f t="shared" ref="E258:L258" si="95">+E$20/E255</f>
        <v>1.1310679611650485</v>
      </c>
      <c r="F258" s="101">
        <f t="shared" si="95"/>
        <v>1.7258964143426294</v>
      </c>
      <c r="G258" s="102">
        <f t="shared" si="95"/>
        <v>3.8469428007889546</v>
      </c>
      <c r="H258" s="101">
        <f t="shared" ca="1" si="95"/>
        <v>4.8264137758954186</v>
      </c>
      <c r="I258" s="101">
        <f t="shared" ca="1" si="95"/>
        <v>6.95900218723422</v>
      </c>
      <c r="J258" s="101">
        <f t="shared" ca="1" si="95"/>
        <v>9.209457557877764</v>
      </c>
      <c r="K258" s="101">
        <f t="shared" ca="1" si="95"/>
        <v>11.101887031156904</v>
      </c>
      <c r="L258" s="101">
        <f t="shared" ca="1" si="95"/>
        <v>12.080011709572295</v>
      </c>
    </row>
  </sheetData>
  <dataValidations count="2">
    <dataValidation type="whole" allowBlank="1" showInputMessage="1" showErrorMessage="1" sqref="H3" xr:uid="{3E896112-10FC-4609-B2E7-D388B7305F17}">
      <formula1>1</formula1>
      <formula2>3</formula2>
    </dataValidation>
    <dataValidation type="list" allowBlank="1" showInputMessage="1" sqref="L3" xr:uid="{FEE9BF17-939B-47C9-8AA0-77C3F7E6C740}">
      <formula1>"1,0"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ACE0B-7D22-4DE9-A20B-B0B0482EC8E4}">
  <dimension ref="A2:J54"/>
  <sheetViews>
    <sheetView workbookViewId="0">
      <selection activeCell="N17" sqref="N17"/>
    </sheetView>
  </sheetViews>
  <sheetFormatPr defaultColWidth="12.28515625" defaultRowHeight="12.75" x14ac:dyDescent="0.2"/>
  <cols>
    <col min="1" max="1" width="1.7109375" style="104" bestFit="1" customWidth="1"/>
    <col min="2" max="2" width="10.7109375" style="110" customWidth="1"/>
    <col min="3" max="13" width="10.7109375" style="103" customWidth="1"/>
    <col min="14" max="16384" width="12.28515625" style="103"/>
  </cols>
  <sheetData>
    <row r="2" spans="1:10" s="4" customFormat="1" x14ac:dyDescent="0.2">
      <c r="A2" s="1" t="s">
        <v>0</v>
      </c>
      <c r="B2" s="2" t="s">
        <v>1</v>
      </c>
      <c r="C2" s="2"/>
      <c r="D2" s="2"/>
      <c r="F2" s="103"/>
      <c r="G2" s="103"/>
      <c r="H2" s="103"/>
      <c r="I2" s="103"/>
      <c r="J2" s="103"/>
    </row>
    <row r="3" spans="1:10" x14ac:dyDescent="0.2">
      <c r="B3" s="105"/>
      <c r="C3" s="106"/>
      <c r="D3" s="106"/>
      <c r="E3" s="106"/>
      <c r="F3" s="106"/>
      <c r="G3" s="106"/>
      <c r="H3" s="106"/>
      <c r="I3" s="106"/>
      <c r="J3" s="106"/>
    </row>
    <row r="4" spans="1:10" s="4" customFormat="1" x14ac:dyDescent="0.2">
      <c r="A4" s="104" t="s">
        <v>0</v>
      </c>
      <c r="B4" s="16" t="s">
        <v>147</v>
      </c>
      <c r="C4" s="107"/>
      <c r="D4" s="107"/>
      <c r="E4" s="107"/>
      <c r="F4" s="107"/>
      <c r="G4" s="107"/>
      <c r="H4" s="107"/>
      <c r="I4" s="107"/>
      <c r="J4" s="107"/>
    </row>
    <row r="5" spans="1:10" x14ac:dyDescent="0.2">
      <c r="B5" s="108" t="s">
        <v>9</v>
      </c>
      <c r="C5" s="109"/>
      <c r="D5" s="109"/>
      <c r="E5" s="109"/>
      <c r="F5" s="21">
        <v>44957</v>
      </c>
      <c r="G5" s="21">
        <f t="shared" ref="G5:J5" si="0">+EOMONTH(F5,12)</f>
        <v>45322</v>
      </c>
      <c r="H5" s="21">
        <f t="shared" si="0"/>
        <v>45688</v>
      </c>
      <c r="I5" s="21">
        <f t="shared" si="0"/>
        <v>46053</v>
      </c>
      <c r="J5" s="21">
        <f t="shared" si="0"/>
        <v>46418</v>
      </c>
    </row>
    <row r="7" spans="1:10" x14ac:dyDescent="0.2">
      <c r="B7" s="110" t="s">
        <v>15</v>
      </c>
      <c r="F7" s="111">
        <f ca="1">+[1]FSM!H14</f>
        <v>14337.911749999996</v>
      </c>
      <c r="G7" s="111">
        <f ca="1">+[1]FSM!I14</f>
        <v>20499.408304609384</v>
      </c>
      <c r="H7" s="111">
        <f ca="1">+[1]FSM!J14</f>
        <v>26995.82725197696</v>
      </c>
      <c r="I7" s="111">
        <f ca="1">+[1]FSM!K14</f>
        <v>32449.042622655747</v>
      </c>
      <c r="J7" s="111">
        <f ca="1">+[1]FSM!L14</f>
        <v>35249.096508313989</v>
      </c>
    </row>
    <row r="8" spans="1:10" x14ac:dyDescent="0.2">
      <c r="B8" s="110" t="s">
        <v>148</v>
      </c>
      <c r="D8" s="112" t="s">
        <v>149</v>
      </c>
      <c r="E8" s="113">
        <f>[1]FSM!L4</f>
        <v>0.125</v>
      </c>
      <c r="F8" s="100">
        <f ca="1">-$E$8*F7</f>
        <v>-1792.2389687499995</v>
      </c>
      <c r="G8" s="100">
        <f ca="1">-$E$8*G7</f>
        <v>-2562.426038076173</v>
      </c>
      <c r="H8" s="100">
        <f ca="1">-$E$8*H7</f>
        <v>-3374.47840649712</v>
      </c>
      <c r="I8" s="100">
        <f ca="1">-$E$8*I7</f>
        <v>-4056.1303278319683</v>
      </c>
      <c r="J8" s="100">
        <f ca="1">-$E$8*J7</f>
        <v>-4406.1370635392486</v>
      </c>
    </row>
    <row r="9" spans="1:10" s="4" customFormat="1" x14ac:dyDescent="0.2">
      <c r="A9" s="104"/>
      <c r="B9" s="85" t="s">
        <v>150</v>
      </c>
      <c r="C9" s="114"/>
      <c r="D9" s="114"/>
      <c r="E9" s="114"/>
      <c r="F9" s="98">
        <f ca="1">SUM(F7:F8)</f>
        <v>12545.672781249996</v>
      </c>
      <c r="G9" s="98">
        <f t="shared" ref="G9:J9" ca="1" si="1">SUM(G7:G8)</f>
        <v>17936.98226653321</v>
      </c>
      <c r="H9" s="98">
        <f t="shared" ca="1" si="1"/>
        <v>23621.348845479839</v>
      </c>
      <c r="I9" s="98">
        <f t="shared" ca="1" si="1"/>
        <v>28392.912294823778</v>
      </c>
      <c r="J9" s="98">
        <f t="shared" ca="1" si="1"/>
        <v>30842.95944477474</v>
      </c>
    </row>
    <row r="10" spans="1:10" x14ac:dyDescent="0.2">
      <c r="B10" s="110" t="s">
        <v>46</v>
      </c>
      <c r="F10" s="115">
        <f ca="1">[1]FSM!H83</f>
        <v>1733.9970374999996</v>
      </c>
      <c r="G10" s="115">
        <f ca="1">[1]FSM!I83</f>
        <v>2050.2049434843752</v>
      </c>
      <c r="H10" s="115">
        <f ca="1">[1]FSM!J83</f>
        <v>2417.1113479734377</v>
      </c>
      <c r="I10" s="115">
        <f ca="1">[1]FSM!K83</f>
        <v>2431.9110473107949</v>
      </c>
      <c r="J10" s="115">
        <f ca="1">[1]FSM!L83</f>
        <v>2399.3195934598671</v>
      </c>
    </row>
    <row r="11" spans="1:10" x14ac:dyDescent="0.2">
      <c r="B11" s="110" t="s">
        <v>151</v>
      </c>
      <c r="F11" s="115">
        <f ca="1">[1]FSM!H196</f>
        <v>-2255.4454945205453</v>
      </c>
      <c r="G11" s="115">
        <f ca="1">[1]FSM!I196</f>
        <v>-1588.8013773582525</v>
      </c>
      <c r="H11" s="115">
        <f ca="1">[1]FSM!J196</f>
        <v>-1326.8225026684586</v>
      </c>
      <c r="I11" s="115">
        <f ca="1">[1]FSM!K196</f>
        <v>-702.61962738922375</v>
      </c>
      <c r="J11" s="115">
        <f ca="1">[1]FSM!L196</f>
        <v>192.67880363530821</v>
      </c>
    </row>
    <row r="12" spans="1:10" x14ac:dyDescent="0.2">
      <c r="B12" s="110" t="s">
        <v>152</v>
      </c>
      <c r="F12" s="115">
        <f ca="1">[1]FSM!H201</f>
        <v>-1767.6877499999994</v>
      </c>
      <c r="G12" s="115">
        <f ca="1">[1]FSM!I201</f>
        <v>-2270.2927764062501</v>
      </c>
      <c r="H12" s="115">
        <f ca="1">[1]FSM!J201</f>
        <v>-2682.8151306312498</v>
      </c>
      <c r="I12" s="115">
        <f ca="1">[1]FSM!K201</f>
        <v>-2888.6388091384929</v>
      </c>
      <c r="J12" s="115">
        <f ca="1">[1]FSM!L201</f>
        <v>-2803.9054040704314</v>
      </c>
    </row>
    <row r="13" spans="1:10" s="4" customFormat="1" x14ac:dyDescent="0.2">
      <c r="A13" s="104"/>
      <c r="B13" s="85" t="s">
        <v>153</v>
      </c>
      <c r="C13" s="114"/>
      <c r="D13" s="114"/>
      <c r="E13" s="114"/>
      <c r="F13" s="98">
        <f ca="1">SUM(F9:F12)</f>
        <v>10256.536574229451</v>
      </c>
      <c r="G13" s="98">
        <f t="shared" ref="G13:J13" ca="1" si="2">SUM(G9:G12)</f>
        <v>16128.093056253083</v>
      </c>
      <c r="H13" s="98">
        <f t="shared" ca="1" si="2"/>
        <v>22028.822560153567</v>
      </c>
      <c r="I13" s="98">
        <f t="shared" ca="1" si="2"/>
        <v>27233.564905606854</v>
      </c>
      <c r="J13" s="98">
        <f t="shared" ca="1" si="2"/>
        <v>30631.052437799484</v>
      </c>
    </row>
    <row r="14" spans="1:10" x14ac:dyDescent="0.2">
      <c r="B14" s="103" t="s">
        <v>154</v>
      </c>
      <c r="C14" s="116"/>
      <c r="D14" s="116"/>
      <c r="F14" s="117" t="s">
        <v>25</v>
      </c>
      <c r="G14" s="118">
        <f ca="1">+G13/F13-1</f>
        <v>0.57246970646762874</v>
      </c>
      <c r="H14" s="118">
        <f t="shared" ref="H14:J14" ca="1" si="3">+H13/G13-1</f>
        <v>0.36586653383753198</v>
      </c>
      <c r="I14" s="118">
        <f t="shared" ca="1" si="3"/>
        <v>0.23626965677538259</v>
      </c>
      <c r="J14" s="118">
        <f t="shared" ca="1" si="3"/>
        <v>0.12475368333042414</v>
      </c>
    </row>
    <row r="15" spans="1:10" ht="15" x14ac:dyDescent="0.25">
      <c r="B15" s="110" t="s">
        <v>155</v>
      </c>
      <c r="F15" s="119">
        <f>+COUNTA(F$5:$F5)-0.5</f>
        <v>0.5</v>
      </c>
      <c r="G15" s="119">
        <f>+COUNTA($F$5:G5)-0.5</f>
        <v>1.5</v>
      </c>
      <c r="H15" s="119">
        <f>+COUNTA($F$5:H5)-0.5</f>
        <v>2.5</v>
      </c>
      <c r="I15" s="119">
        <f>+COUNTA($F$5:I5)-0.5</f>
        <v>3.5</v>
      </c>
      <c r="J15" s="119">
        <f>+COUNTA($F$5:J5)-0.5</f>
        <v>4.5</v>
      </c>
    </row>
    <row r="16" spans="1:10" s="4" customFormat="1" x14ac:dyDescent="0.2">
      <c r="A16" s="104"/>
      <c r="B16" s="85" t="s">
        <v>156</v>
      </c>
      <c r="C16" s="114"/>
      <c r="D16" s="114"/>
      <c r="E16" s="114"/>
      <c r="F16" s="98">
        <f ca="1">+F13/(1+$E$39)^(F15)</f>
        <v>9721.6788478844664</v>
      </c>
      <c r="G16" s="98">
        <f ca="1">+G13/(1+$E$39)^(G15)</f>
        <v>13734.239996356477</v>
      </c>
      <c r="H16" s="98">
        <f ca="1">+H13/(1+$E$39)^(H15)</f>
        <v>16853.649999037199</v>
      </c>
      <c r="I16" s="98">
        <f ca="1">+I13/(1+$E$39)^(I15)</f>
        <v>18719.241834461925</v>
      </c>
      <c r="J16" s="98">
        <f ca="1">+J13/(1+$E$39)^(J15)</f>
        <v>18915.888849385134</v>
      </c>
    </row>
    <row r="18" spans="1:10" x14ac:dyDescent="0.2">
      <c r="A18" s="104" t="s">
        <v>0</v>
      </c>
      <c r="B18" s="16" t="s">
        <v>157</v>
      </c>
      <c r="C18" s="107"/>
      <c r="D18" s="120"/>
      <c r="E18" s="107"/>
      <c r="G18" s="107" t="s">
        <v>158</v>
      </c>
      <c r="H18" s="107"/>
      <c r="I18" s="107"/>
      <c r="J18" s="120"/>
    </row>
    <row r="19" spans="1:10" x14ac:dyDescent="0.2">
      <c r="B19" s="108" t="s">
        <v>9</v>
      </c>
      <c r="C19" s="109"/>
      <c r="D19" s="109"/>
      <c r="E19" s="109"/>
      <c r="G19" s="109" t="s">
        <v>9</v>
      </c>
      <c r="H19" s="109"/>
      <c r="I19" s="109"/>
      <c r="J19" s="109"/>
    </row>
    <row r="21" spans="1:10" x14ac:dyDescent="0.2">
      <c r="B21" s="121" t="s">
        <v>159</v>
      </c>
      <c r="C21" s="122"/>
      <c r="D21" s="123"/>
      <c r="E21" s="123"/>
      <c r="G21" s="103" t="s">
        <v>160</v>
      </c>
      <c r="J21" s="117">
        <f ca="1">+SUM(F16:J16)</f>
        <v>77944.699527125194</v>
      </c>
    </row>
    <row r="22" spans="1:10" x14ac:dyDescent="0.2">
      <c r="B22" s="105" t="s">
        <v>138</v>
      </c>
      <c r="C22" s="106"/>
      <c r="D22" s="106"/>
      <c r="E22" s="124">
        <f>[1]FSM!G15</f>
        <v>-236</v>
      </c>
      <c r="G22" s="103" t="s">
        <v>161</v>
      </c>
      <c r="J22" s="89">
        <v>3.5000000000000003E-2</v>
      </c>
    </row>
    <row r="23" spans="1:10" x14ac:dyDescent="0.2">
      <c r="B23" s="110" t="s">
        <v>162</v>
      </c>
      <c r="E23" s="111">
        <f>SUM([1]FSM!G113:G114)</f>
        <v>10946</v>
      </c>
      <c r="G23" s="103" t="s">
        <v>163</v>
      </c>
      <c r="J23" s="117">
        <f ca="1">+J13*(1+J22)</f>
        <v>31703.139273122462</v>
      </c>
    </row>
    <row r="24" spans="1:10" x14ac:dyDescent="0.2">
      <c r="B24" s="85" t="s">
        <v>164</v>
      </c>
      <c r="C24" s="114"/>
      <c r="D24" s="114"/>
      <c r="E24" s="125">
        <f>-E22/E23</f>
        <v>2.1560387356111821E-2</v>
      </c>
      <c r="G24" s="103" t="s">
        <v>165</v>
      </c>
      <c r="J24" s="117">
        <f ca="1">+J23/(E39-J22)</f>
        <v>406133.42478332127</v>
      </c>
    </row>
    <row r="25" spans="1:10" x14ac:dyDescent="0.2">
      <c r="B25" s="110" t="s">
        <v>166</v>
      </c>
      <c r="E25" s="118">
        <f>([1]FSM!G19/[1]FSM!G18)*-1</f>
        <v>1.9012171813700834E-2</v>
      </c>
      <c r="G25" s="103" t="s">
        <v>167</v>
      </c>
      <c r="J25" s="117">
        <f ca="1">+J24/(1+E39)^J15</f>
        <v>250803.48567263657</v>
      </c>
    </row>
    <row r="26" spans="1:10" x14ac:dyDescent="0.2">
      <c r="B26" s="85" t="s">
        <v>168</v>
      </c>
      <c r="C26" s="114"/>
      <c r="D26" s="114"/>
      <c r="E26" s="125">
        <f>+E24*(1-E25)</f>
        <v>2.1150477567327481E-2</v>
      </c>
      <c r="G26" s="114" t="s">
        <v>169</v>
      </c>
      <c r="H26" s="114"/>
      <c r="I26" s="114"/>
      <c r="J26" s="30">
        <f ca="1">+J21+J25</f>
        <v>328748.18519976176</v>
      </c>
    </row>
    <row r="27" spans="1:10" x14ac:dyDescent="0.2">
      <c r="G27" s="103" t="s">
        <v>170</v>
      </c>
      <c r="J27" s="126">
        <f>-([1]FSM!G113+[1]FSM!G114-[1]FSM!G98)</f>
        <v>10262</v>
      </c>
    </row>
    <row r="28" spans="1:10" x14ac:dyDescent="0.2">
      <c r="B28" s="121" t="s">
        <v>171</v>
      </c>
      <c r="C28" s="122"/>
      <c r="D28" s="123"/>
      <c r="E28" s="123"/>
      <c r="G28" s="114" t="s">
        <v>172</v>
      </c>
      <c r="H28" s="114"/>
      <c r="I28" s="114"/>
      <c r="J28" s="30">
        <f ca="1">SUM(J26:J27)</f>
        <v>339010.18519976176</v>
      </c>
    </row>
    <row r="29" spans="1:10" x14ac:dyDescent="0.2">
      <c r="B29" s="105" t="s">
        <v>173</v>
      </c>
      <c r="C29" s="106"/>
      <c r="D29" s="106"/>
      <c r="E29" s="127">
        <v>2.8000000000000001E-2</v>
      </c>
      <c r="G29" s="103" t="s">
        <v>144</v>
      </c>
      <c r="J29" s="126">
        <f>[1]FSM!G255</f>
        <v>2535</v>
      </c>
    </row>
    <row r="30" spans="1:10" x14ac:dyDescent="0.2">
      <c r="B30" s="110" t="s">
        <v>174</v>
      </c>
      <c r="E30" s="128">
        <v>1.59</v>
      </c>
    </row>
    <row r="31" spans="1:10" x14ac:dyDescent="0.2">
      <c r="B31" s="110" t="s">
        <v>175</v>
      </c>
      <c r="E31" s="129">
        <v>5.5E-2</v>
      </c>
      <c r="G31" s="130" t="s">
        <v>176</v>
      </c>
      <c r="H31" s="131"/>
      <c r="I31" s="131"/>
      <c r="J31" s="132">
        <f ca="1">+J28/J29</f>
        <v>133.73182848116835</v>
      </c>
    </row>
    <row r="32" spans="1:10" x14ac:dyDescent="0.2">
      <c r="B32" s="85" t="s">
        <v>177</v>
      </c>
      <c r="C32" s="114"/>
      <c r="D32" s="114"/>
      <c r="E32" s="125">
        <f>+E29+E30*E31</f>
        <v>0.11545</v>
      </c>
      <c r="G32" s="110" t="s">
        <v>178</v>
      </c>
      <c r="H32" s="116"/>
      <c r="I32" s="116"/>
      <c r="J32" s="133">
        <f ca="1">+[1]FSM!D3/J31-1</f>
        <v>0.26357354056364501</v>
      </c>
    </row>
    <row r="34" spans="1:10" x14ac:dyDescent="0.2">
      <c r="B34" s="121" t="s">
        <v>179</v>
      </c>
      <c r="C34" s="122"/>
      <c r="D34" s="134" t="s">
        <v>180</v>
      </c>
      <c r="E34" s="134" t="s">
        <v>181</v>
      </c>
    </row>
    <row r="35" spans="1:10" s="4" customFormat="1" x14ac:dyDescent="0.2">
      <c r="A35" s="104"/>
      <c r="B35" s="105" t="s">
        <v>182</v>
      </c>
      <c r="C35" s="106"/>
      <c r="D35" s="135">
        <f>+E23</f>
        <v>10946</v>
      </c>
      <c r="E35" s="136">
        <f>+D35/$D$37</f>
        <v>2.5335265226387932E-2</v>
      </c>
    </row>
    <row r="36" spans="1:10" x14ac:dyDescent="0.2">
      <c r="B36" s="110" t="s">
        <v>183</v>
      </c>
      <c r="D36" s="63">
        <v>421100</v>
      </c>
      <c r="E36" s="133">
        <f>+D36/$D$37</f>
        <v>0.97466473477361204</v>
      </c>
    </row>
    <row r="37" spans="1:10" x14ac:dyDescent="0.2">
      <c r="B37" s="85" t="s">
        <v>184</v>
      </c>
      <c r="C37" s="114"/>
      <c r="D37" s="30">
        <f>SUM(D35:D36)</f>
        <v>432046</v>
      </c>
      <c r="E37" s="137">
        <f>SUM(E35:E36)</f>
        <v>1</v>
      </c>
    </row>
    <row r="39" spans="1:10" x14ac:dyDescent="0.2">
      <c r="B39" s="138" t="s">
        <v>185</v>
      </c>
      <c r="C39" s="131"/>
      <c r="D39" s="131"/>
      <c r="E39" s="139">
        <f>+(E26*E35)+(E32*E36)</f>
        <v>0.11306089658844652</v>
      </c>
    </row>
    <row r="41" spans="1:10" x14ac:dyDescent="0.2">
      <c r="A41" s="104" t="s">
        <v>0</v>
      </c>
      <c r="B41" s="16" t="s">
        <v>186</v>
      </c>
      <c r="C41" s="140"/>
      <c r="D41" s="140"/>
      <c r="E41" s="140"/>
      <c r="F41" s="140"/>
      <c r="G41" s="140"/>
      <c r="H41" s="140"/>
      <c r="I41" s="140"/>
      <c r="J41" s="140"/>
    </row>
    <row r="42" spans="1:10" x14ac:dyDescent="0.2">
      <c r="B42" s="106"/>
      <c r="C42" s="106"/>
      <c r="D42" s="106"/>
      <c r="E42" s="106"/>
      <c r="F42" s="106"/>
      <c r="G42" s="106"/>
      <c r="H42" s="106"/>
      <c r="I42" s="106"/>
      <c r="J42" s="106"/>
    </row>
    <row r="43" spans="1:10" x14ac:dyDescent="0.2">
      <c r="B43" s="103"/>
      <c r="C43" s="141" t="s">
        <v>161</v>
      </c>
      <c r="D43" s="141"/>
      <c r="E43" s="141"/>
      <c r="F43" s="141"/>
      <c r="G43" s="141"/>
      <c r="H43" s="141"/>
      <c r="I43" s="141"/>
    </row>
    <row r="44" spans="1:10" x14ac:dyDescent="0.2">
      <c r="B44" s="103"/>
      <c r="C44" s="142">
        <f ca="1">+J31</f>
        <v>133.73182848116835</v>
      </c>
      <c r="D44" s="143">
        <v>0.02</v>
      </c>
      <c r="E44" s="144">
        <f>+D44+0.5%</f>
        <v>2.5000000000000001E-2</v>
      </c>
      <c r="F44" s="144">
        <f t="shared" ref="F44:I44" si="4">+E44+0.5%</f>
        <v>3.0000000000000002E-2</v>
      </c>
      <c r="G44" s="144">
        <f t="shared" si="4"/>
        <v>3.5000000000000003E-2</v>
      </c>
      <c r="H44" s="144">
        <f t="shared" si="4"/>
        <v>0.04</v>
      </c>
      <c r="I44" s="144">
        <f t="shared" si="4"/>
        <v>4.4999999999999998E-2</v>
      </c>
    </row>
    <row r="45" spans="1:10" x14ac:dyDescent="0.2">
      <c r="B45" s="103"/>
      <c r="C45" s="143">
        <v>0.08</v>
      </c>
      <c r="D45" s="145">
        <v>182.81804596990727</v>
      </c>
      <c r="E45" s="146">
        <v>196.80286579180606</v>
      </c>
      <c r="F45" s="146">
        <v>213.58464957808459</v>
      </c>
      <c r="G45" s="146">
        <v>234.09571865020283</v>
      </c>
      <c r="H45" s="146">
        <v>259.73455499035072</v>
      </c>
      <c r="I45" s="147">
        <v>292.69877314196924</v>
      </c>
    </row>
    <row r="46" spans="1:10" x14ac:dyDescent="0.2">
      <c r="B46" s="103"/>
      <c r="C46" s="144">
        <f>+C45+0.5%</f>
        <v>8.5000000000000006E-2</v>
      </c>
      <c r="D46" s="148">
        <v>168.44555880050359</v>
      </c>
      <c r="E46" s="149">
        <v>180.0891049478756</v>
      </c>
      <c r="F46" s="149">
        <v>193.8496594856789</v>
      </c>
      <c r="G46" s="149">
        <v>210.36232493104288</v>
      </c>
      <c r="H46" s="149">
        <v>230.54447158648773</v>
      </c>
      <c r="I46" s="150">
        <v>255.77215490579377</v>
      </c>
    </row>
    <row r="47" spans="1:10" x14ac:dyDescent="0.2">
      <c r="B47" s="151"/>
      <c r="C47" s="144">
        <f t="shared" ref="C47:C53" si="5">+C46+0.5%</f>
        <v>9.0000000000000011E-2</v>
      </c>
      <c r="D47" s="148">
        <v>156.1367782892211</v>
      </c>
      <c r="E47" s="149">
        <v>165.95764507188684</v>
      </c>
      <c r="F47" s="149">
        <v>177.41532298499686</v>
      </c>
      <c r="G47" s="149">
        <v>190.95621506412684</v>
      </c>
      <c r="H47" s="149">
        <v>207.20528555908285</v>
      </c>
      <c r="I47" s="150">
        <v>227.06526060847347</v>
      </c>
    </row>
    <row r="48" spans="1:10" x14ac:dyDescent="0.2">
      <c r="B48" s="48" t="s">
        <v>187</v>
      </c>
      <c r="C48" s="144">
        <f t="shared" si="5"/>
        <v>9.5000000000000015E-2</v>
      </c>
      <c r="D48" s="148">
        <v>145.47875498221433</v>
      </c>
      <c r="E48" s="149">
        <v>153.85492027365245</v>
      </c>
      <c r="F48" s="149">
        <v>163.51972637915796</v>
      </c>
      <c r="G48" s="149">
        <v>174.79533350224776</v>
      </c>
      <c r="H48" s="149">
        <v>188.12105101135387</v>
      </c>
      <c r="I48" s="150">
        <v>204.11191202228119</v>
      </c>
    </row>
    <row r="49" spans="2:9" x14ac:dyDescent="0.2">
      <c r="B49" s="103"/>
      <c r="C49" s="144">
        <f t="shared" si="5"/>
        <v>0.10000000000000002</v>
      </c>
      <c r="D49" s="148">
        <v>136.16178188781427</v>
      </c>
      <c r="E49" s="149">
        <v>143.3749874849519</v>
      </c>
      <c r="F49" s="149">
        <v>151.61865102453777</v>
      </c>
      <c r="G49" s="149">
        <v>161.13057049329069</v>
      </c>
      <c r="H49" s="149">
        <v>172.22780987350248</v>
      </c>
      <c r="I49" s="150">
        <v>185.34272914102542</v>
      </c>
    </row>
    <row r="50" spans="2:9" x14ac:dyDescent="0.2">
      <c r="B50" s="103"/>
      <c r="C50" s="144">
        <f t="shared" si="5"/>
        <v>0.10500000000000002</v>
      </c>
      <c r="D50" s="148">
        <v>127.94902889801871</v>
      </c>
      <c r="E50" s="149">
        <v>134.21339417558124</v>
      </c>
      <c r="F50" s="149">
        <v>141.3130081568188</v>
      </c>
      <c r="G50" s="149">
        <v>149.42685270680454</v>
      </c>
      <c r="H50" s="149">
        <v>158.78898103371122</v>
      </c>
      <c r="I50" s="150">
        <v>169.71146408176892</v>
      </c>
    </row>
    <row r="51" spans="2:9" x14ac:dyDescent="0.2">
      <c r="B51" s="103"/>
      <c r="C51" s="144">
        <f t="shared" si="5"/>
        <v>0.11000000000000003</v>
      </c>
      <c r="D51" s="148">
        <v>120.65629907447706</v>
      </c>
      <c r="E51" s="149">
        <v>126.1373280570635</v>
      </c>
      <c r="F51" s="149">
        <v>132.30348566247326</v>
      </c>
      <c r="G51" s="149">
        <v>139.29179761527098</v>
      </c>
      <c r="H51" s="149">
        <v>147.27843984703981</v>
      </c>
      <c r="I51" s="150">
        <v>156.49379626831151</v>
      </c>
    </row>
    <row r="52" spans="2:9" x14ac:dyDescent="0.2">
      <c r="B52" s="103"/>
      <c r="C52" s="144">
        <f t="shared" si="5"/>
        <v>0.11500000000000003</v>
      </c>
      <c r="D52" s="148">
        <v>114.13817769081132</v>
      </c>
      <c r="E52" s="149">
        <v>118.96571688973955</v>
      </c>
      <c r="F52" s="149">
        <v>124.36120187677696</v>
      </c>
      <c r="G52" s="149">
        <v>130.43112248719405</v>
      </c>
      <c r="H52" s="149">
        <v>137.31036584566678</v>
      </c>
      <c r="I52" s="150">
        <v>145.17235825534985</v>
      </c>
    </row>
    <row r="53" spans="2:9" x14ac:dyDescent="0.2">
      <c r="B53" s="103"/>
      <c r="C53" s="144">
        <f t="shared" si="5"/>
        <v>0.12000000000000004</v>
      </c>
      <c r="D53" s="152">
        <v>108.27833656638069</v>
      </c>
      <c r="E53" s="153">
        <v>112.55561256550089</v>
      </c>
      <c r="F53" s="153">
        <v>117.30814145341225</v>
      </c>
      <c r="G53" s="153">
        <v>122.61979138696023</v>
      </c>
      <c r="H53" s="153">
        <v>128.59539756220173</v>
      </c>
      <c r="I53" s="154">
        <v>135.36775122747537</v>
      </c>
    </row>
    <row r="54" spans="2:9" x14ac:dyDescent="0.2">
      <c r="B54" s="10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FSM</vt:lpstr>
      <vt:lpstr>DCF</vt:lpstr>
      <vt:lpstr>Circ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 Saravanan</dc:creator>
  <cp:lastModifiedBy>Jai Saravanan</cp:lastModifiedBy>
  <dcterms:created xsi:type="dcterms:W3CDTF">2024-08-16T03:52:56Z</dcterms:created>
  <dcterms:modified xsi:type="dcterms:W3CDTF">2024-08-16T03:54:59Z</dcterms:modified>
</cp:coreProperties>
</file>