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RS Automation\flask_app\media\output file\"/>
    </mc:Choice>
  </mc:AlternateContent>
  <bookViews>
    <workbookView xWindow="0" yWindow="3600" windowWidth="16815" windowHeight="7620" tabRatio="901" activeTab="6"/>
  </bookViews>
  <sheets>
    <sheet name="TOP SHEET" sheetId="1" r:id="rId1"/>
    <sheet name="SUMMARY" sheetId="2" r:id="rId2"/>
    <sheet name="DR IN BANK" sheetId="3" r:id="rId3"/>
    <sheet name="CR IN BANK" sheetId="4" r:id="rId4"/>
    <sheet name="DR IN LEDGER" sheetId="5" r:id="rId5"/>
    <sheet name="CR IN LEDGER" sheetId="6" r:id="rId6"/>
    <sheet name="Knock off data" sheetId="7" r:id="rId7"/>
    <sheet name="Bank Statement" sheetId="8" r:id="rId8"/>
  </sheets>
  <calcPr calcId="162913"/>
</workbook>
</file>

<file path=xl/calcChain.xml><?xml version="1.0" encoding="utf-8"?>
<calcChain xmlns="http://schemas.openxmlformats.org/spreadsheetml/2006/main">
  <c r="S4" i="6" l="1"/>
  <c r="S3" i="6"/>
  <c r="M2" i="6"/>
  <c r="L2" i="6"/>
  <c r="B2" i="6"/>
  <c r="B4" i="6" s="1"/>
  <c r="M2" i="5"/>
  <c r="E18" i="1" s="1"/>
  <c r="AX4" i="1" s="1"/>
  <c r="L2" i="5"/>
  <c r="D18" i="1" s="1"/>
  <c r="B2" i="5"/>
  <c r="B4" i="5" s="1"/>
  <c r="G2" i="4"/>
  <c r="F2" i="4"/>
  <c r="B2" i="4"/>
  <c r="B4" i="4" s="1"/>
  <c r="A4" i="4" s="1"/>
  <c r="N44" i="1" s="1"/>
  <c r="G2" i="3"/>
  <c r="E17" i="1" s="1"/>
  <c r="F2" i="3"/>
  <c r="D17" i="1" s="1"/>
  <c r="B2" i="3"/>
  <c r="B4" i="3" s="1"/>
  <c r="C72" i="2"/>
  <c r="I71" i="2"/>
  <c r="C71" i="2"/>
  <c r="H71" i="2" s="1"/>
  <c r="K70" i="2"/>
  <c r="I70" i="2"/>
  <c r="G70" i="2" s="1"/>
  <c r="H70" i="2"/>
  <c r="L34" i="2"/>
  <c r="K34" i="2"/>
  <c r="J34" i="2"/>
  <c r="I34" i="2"/>
  <c r="H34" i="2"/>
  <c r="G34" i="2"/>
  <c r="F34" i="2"/>
  <c r="E34" i="2"/>
  <c r="D34" i="2"/>
  <c r="C34" i="2"/>
  <c r="M40" i="1"/>
  <c r="C24" i="1"/>
  <c r="J22" i="1"/>
  <c r="E13" i="1"/>
  <c r="D13" i="1"/>
  <c r="E12" i="1"/>
  <c r="E15" i="1" s="1"/>
  <c r="D12" i="1"/>
  <c r="C9" i="1"/>
  <c r="C8" i="1"/>
  <c r="J7" i="1"/>
  <c r="J5" i="1"/>
  <c r="J13" i="1" s="1"/>
  <c r="AZ4" i="1"/>
  <c r="AY4" i="1"/>
  <c r="AV4" i="1"/>
  <c r="AU4" i="1"/>
  <c r="J3" i="1"/>
  <c r="B2" i="2" s="1"/>
  <c r="D15" i="1" l="1"/>
  <c r="D20" i="1"/>
  <c r="D22" i="1" s="1"/>
  <c r="M38" i="1"/>
  <c r="N40" i="1"/>
  <c r="N43" i="1"/>
  <c r="M46" i="1"/>
  <c r="N45" i="1"/>
  <c r="N38" i="1"/>
  <c r="N41" i="1"/>
  <c r="M44" i="1"/>
  <c r="N46" i="1"/>
  <c r="N42" i="1"/>
  <c r="N39" i="1"/>
  <c r="M42" i="1"/>
  <c r="C4" i="4"/>
  <c r="E20" i="1"/>
  <c r="E22" i="1" s="1"/>
  <c r="E26" i="1" s="1"/>
  <c r="AW4" i="1"/>
  <c r="BA4" i="1"/>
  <c r="B11" i="2"/>
  <c r="B30" i="2" s="1"/>
  <c r="B45" i="2" s="1"/>
  <c r="C4" i="6"/>
  <c r="A4" i="6"/>
  <c r="J15" i="1"/>
  <c r="J35" i="1"/>
  <c r="B1" i="6"/>
  <c r="B1" i="5"/>
  <c r="B1" i="4"/>
  <c r="B1" i="3"/>
  <c r="B38" i="2"/>
  <c r="J27" i="1"/>
  <c r="J24" i="1"/>
  <c r="B23" i="2"/>
  <c r="B4" i="2"/>
  <c r="J29" i="1"/>
  <c r="J28" i="1"/>
  <c r="J16" i="1"/>
  <c r="J14" i="1"/>
  <c r="J12" i="1"/>
  <c r="J10" i="1"/>
  <c r="J11" i="1"/>
  <c r="J26" i="1"/>
  <c r="J9" i="1"/>
  <c r="J6" i="1"/>
  <c r="J8" i="1"/>
  <c r="J25" i="1"/>
  <c r="J71" i="2"/>
  <c r="F71" i="2"/>
  <c r="K71" i="2"/>
  <c r="G71" i="2"/>
  <c r="A4" i="3"/>
  <c r="C4" i="3"/>
  <c r="C73" i="2"/>
  <c r="H72" i="2"/>
  <c r="I72" i="2"/>
  <c r="M45" i="1"/>
  <c r="M43" i="1"/>
  <c r="M41" i="1"/>
  <c r="M39" i="1"/>
  <c r="A4" i="5"/>
  <c r="C4" i="5"/>
  <c r="J70" i="2"/>
  <c r="F70" i="2"/>
  <c r="M47" i="1" l="1"/>
  <c r="N47" i="1"/>
  <c r="I73" i="2"/>
  <c r="C74" i="2"/>
  <c r="H73" i="2"/>
  <c r="B9" i="2"/>
  <c r="B28" i="2" s="1"/>
  <c r="B43" i="2" s="1"/>
  <c r="B14" i="2"/>
  <c r="B33" i="2" s="1"/>
  <c r="B48" i="2" s="1"/>
  <c r="D4" i="6"/>
  <c r="R11" i="1" s="1"/>
  <c r="D4" i="5"/>
  <c r="D4" i="3"/>
  <c r="K11" i="1" s="1"/>
  <c r="D4" i="4"/>
  <c r="N16" i="1" s="1"/>
  <c r="F14" i="2" s="1"/>
  <c r="F48" i="2" s="1"/>
  <c r="O46" i="1"/>
  <c r="O44" i="1"/>
  <c r="O42" i="1"/>
  <c r="O40" i="1"/>
  <c r="O38" i="1"/>
  <c r="P46" i="1"/>
  <c r="O45" i="1"/>
  <c r="P39" i="1"/>
  <c r="P38" i="1"/>
  <c r="O39" i="1"/>
  <c r="P41" i="1"/>
  <c r="P40" i="1"/>
  <c r="O43" i="1"/>
  <c r="P42" i="1"/>
  <c r="P43" i="1"/>
  <c r="P45" i="1"/>
  <c r="O41" i="1"/>
  <c r="P44" i="1"/>
  <c r="P25" i="1"/>
  <c r="N25" i="1"/>
  <c r="O25" i="1"/>
  <c r="B7" i="2"/>
  <c r="M9" i="1"/>
  <c r="E7" i="2" s="1"/>
  <c r="P9" i="1"/>
  <c r="H7" i="2" s="1"/>
  <c r="L9" i="1"/>
  <c r="O9" i="1"/>
  <c r="G7" i="2" s="1"/>
  <c r="N10" i="1"/>
  <c r="F8" i="2" s="1"/>
  <c r="P10" i="1"/>
  <c r="H8" i="2" s="1"/>
  <c r="B8" i="2"/>
  <c r="P28" i="1"/>
  <c r="P6" i="1"/>
  <c r="O6" i="1"/>
  <c r="B5" i="2"/>
  <c r="B24" i="2" s="1"/>
  <c r="B39" i="2" s="1"/>
  <c r="K46" i="1"/>
  <c r="K44" i="1"/>
  <c r="K42" i="1"/>
  <c r="K40" i="1"/>
  <c r="K38" i="1"/>
  <c r="L41" i="1"/>
  <c r="L40" i="1"/>
  <c r="K39" i="1"/>
  <c r="L43" i="1"/>
  <c r="L42" i="1"/>
  <c r="K41" i="1"/>
  <c r="K45" i="1"/>
  <c r="L44" i="1"/>
  <c r="L46" i="1"/>
  <c r="L38" i="1"/>
  <c r="K43" i="1"/>
  <c r="L39" i="1"/>
  <c r="L45" i="1"/>
  <c r="M8" i="1"/>
  <c r="E6" i="2" s="1"/>
  <c r="P8" i="1"/>
  <c r="H6" i="2" s="1"/>
  <c r="L8" i="1"/>
  <c r="O8" i="1"/>
  <c r="G6" i="2" s="1"/>
  <c r="B6" i="2"/>
  <c r="N12" i="1"/>
  <c r="F10" i="2" s="1"/>
  <c r="F44" i="2" s="1"/>
  <c r="M12" i="1"/>
  <c r="E10" i="2" s="1"/>
  <c r="E44" i="2" s="1"/>
  <c r="B10" i="2"/>
  <c r="B29" i="2" s="1"/>
  <c r="B44" i="2" s="1"/>
  <c r="O12" i="1"/>
  <c r="G10" i="2" s="1"/>
  <c r="G44" i="2" s="1"/>
  <c r="L12" i="1"/>
  <c r="P12" i="1"/>
  <c r="H10" i="2" s="1"/>
  <c r="H44" i="2" s="1"/>
  <c r="P29" i="1"/>
  <c r="L29" i="1"/>
  <c r="O29" i="1"/>
  <c r="N29" i="1"/>
  <c r="N27" i="1"/>
  <c r="P27" i="1"/>
  <c r="O27" i="1"/>
  <c r="K72" i="2"/>
  <c r="G72" i="2"/>
  <c r="F72" i="2"/>
  <c r="J72" i="2"/>
  <c r="M26" i="1"/>
  <c r="P26" i="1"/>
  <c r="O26" i="1"/>
  <c r="B12" i="2"/>
  <c r="B31" i="2" s="1"/>
  <c r="B46" i="2" s="1"/>
  <c r="M14" i="1"/>
  <c r="E12" i="2" s="1"/>
  <c r="E46" i="2" s="1"/>
  <c r="K14" i="1"/>
  <c r="P14" i="1"/>
  <c r="H12" i="2" s="1"/>
  <c r="H46" i="2" s="1"/>
  <c r="O14" i="1"/>
  <c r="G12" i="2" s="1"/>
  <c r="G46" i="2" s="1"/>
  <c r="P15" i="1"/>
  <c r="H13" i="2" s="1"/>
  <c r="H47" i="2" s="1"/>
  <c r="N15" i="1"/>
  <c r="F13" i="2" s="1"/>
  <c r="F47" i="2" s="1"/>
  <c r="O15" i="1"/>
  <c r="G13" i="2" s="1"/>
  <c r="G47" i="2" s="1"/>
  <c r="B13" i="2"/>
  <c r="B32" i="2" s="1"/>
  <c r="B47" i="2" s="1"/>
  <c r="R8" i="1" l="1"/>
  <c r="Q8" i="1"/>
  <c r="R12" i="1"/>
  <c r="T12" i="1" s="1"/>
  <c r="R14" i="1"/>
  <c r="J12" i="2" s="1"/>
  <c r="J46" i="2" s="1"/>
  <c r="R29" i="1"/>
  <c r="M27" i="1"/>
  <c r="M29" i="1"/>
  <c r="M6" i="1"/>
  <c r="E5" i="2" s="1"/>
  <c r="M28" i="1"/>
  <c r="N9" i="1"/>
  <c r="F7" i="2" s="1"/>
  <c r="M25" i="1"/>
  <c r="M15" i="1"/>
  <c r="E13" i="2" s="1"/>
  <c r="E47" i="2" s="1"/>
  <c r="N26" i="1"/>
  <c r="N14" i="1"/>
  <c r="F12" i="2" s="1"/>
  <c r="F46" i="2" s="1"/>
  <c r="N8" i="1"/>
  <c r="F6" i="2" s="1"/>
  <c r="N6" i="1"/>
  <c r="F5" i="2" s="1"/>
  <c r="N28" i="1"/>
  <c r="M10" i="1"/>
  <c r="E8" i="2" s="1"/>
  <c r="E42" i="2" s="1"/>
  <c r="R28" i="1"/>
  <c r="R10" i="1"/>
  <c r="J8" i="2" s="1"/>
  <c r="R25" i="1"/>
  <c r="R16" i="1"/>
  <c r="J14" i="2" s="1"/>
  <c r="J48" i="2" s="1"/>
  <c r="Q27" i="1"/>
  <c r="R27" i="1"/>
  <c r="R30" i="1" s="1"/>
  <c r="Q11" i="1"/>
  <c r="Q15" i="1"/>
  <c r="I13" i="2" s="1"/>
  <c r="I47" i="2" s="1"/>
  <c r="Q12" i="1"/>
  <c r="Q6" i="1"/>
  <c r="I5" i="2" s="1"/>
  <c r="Q10" i="1"/>
  <c r="Q25" i="1"/>
  <c r="M16" i="1"/>
  <c r="E14" i="2" s="1"/>
  <c r="E48" i="2" s="1"/>
  <c r="N11" i="1"/>
  <c r="F9" i="2" s="1"/>
  <c r="F43" i="2" s="1"/>
  <c r="Q14" i="1"/>
  <c r="R15" i="1"/>
  <c r="R46" i="1" s="1"/>
  <c r="T46" i="1" s="1"/>
  <c r="R26" i="1"/>
  <c r="Q26" i="1"/>
  <c r="Q29" i="1"/>
  <c r="T29" i="1"/>
  <c r="R6" i="1"/>
  <c r="Q28" i="1"/>
  <c r="R9" i="1"/>
  <c r="Q9" i="1"/>
  <c r="Q40" i="1" s="1"/>
  <c r="S40" i="1" s="1"/>
  <c r="Q16" i="1"/>
  <c r="I14" i="2" s="1"/>
  <c r="I48" i="2" s="1"/>
  <c r="C9" i="2"/>
  <c r="G41" i="2"/>
  <c r="B26" i="2"/>
  <c r="B41" i="2" s="1"/>
  <c r="B18" i="2"/>
  <c r="H40" i="2"/>
  <c r="K47" i="1"/>
  <c r="L6" i="1"/>
  <c r="K28" i="1"/>
  <c r="Q41" i="1"/>
  <c r="S41" i="1" s="1"/>
  <c r="I8" i="2"/>
  <c r="F41" i="2"/>
  <c r="H41" i="2"/>
  <c r="L25" i="1"/>
  <c r="O7" i="1"/>
  <c r="P7" i="1"/>
  <c r="P13" i="1"/>
  <c r="H11" i="2" s="1"/>
  <c r="H45" i="2" s="1"/>
  <c r="O13" i="1"/>
  <c r="G11" i="2" s="1"/>
  <c r="G45" i="2" s="1"/>
  <c r="P16" i="1"/>
  <c r="H14" i="2" s="1"/>
  <c r="H48" i="2" s="1"/>
  <c r="P11" i="1"/>
  <c r="H9" i="2" s="1"/>
  <c r="H43" i="2" s="1"/>
  <c r="J9" i="2"/>
  <c r="J43" i="2" s="1"/>
  <c r="R42" i="1"/>
  <c r="T42" i="1" s="1"/>
  <c r="J73" i="2"/>
  <c r="F73" i="2"/>
  <c r="I10" i="2"/>
  <c r="I44" i="2" s="1"/>
  <c r="Q43" i="1"/>
  <c r="S43" i="1" s="1"/>
  <c r="B17" i="2"/>
  <c r="B25" i="2"/>
  <c r="B40" i="2" s="1"/>
  <c r="G5" i="2"/>
  <c r="P30" i="1"/>
  <c r="L16" i="1"/>
  <c r="I9" i="2"/>
  <c r="I43" i="2" s="1"/>
  <c r="Q42" i="1"/>
  <c r="S42" i="1" s="1"/>
  <c r="L15" i="1"/>
  <c r="K8" i="1"/>
  <c r="L28" i="1"/>
  <c r="K10" i="1"/>
  <c r="L14" i="1"/>
  <c r="Q45" i="1"/>
  <c r="S45" i="1" s="1"/>
  <c r="I12" i="2"/>
  <c r="I46" i="2" s="1"/>
  <c r="K26" i="1"/>
  <c r="K27" i="1"/>
  <c r="S27" i="1" s="1"/>
  <c r="K12" i="1"/>
  <c r="J10" i="2"/>
  <c r="J44" i="2" s="1"/>
  <c r="G40" i="2"/>
  <c r="E40" i="2"/>
  <c r="J5" i="2"/>
  <c r="H5" i="2"/>
  <c r="O28" i="1"/>
  <c r="O30" i="1" s="1"/>
  <c r="O10" i="1"/>
  <c r="G8" i="2" s="1"/>
  <c r="F42" i="2"/>
  <c r="J7" i="2"/>
  <c r="R40" i="1"/>
  <c r="E41" i="2"/>
  <c r="P47" i="1"/>
  <c r="O47" i="1"/>
  <c r="R13" i="1"/>
  <c r="Q13" i="1"/>
  <c r="Q7" i="1"/>
  <c r="Q38" i="1" s="1"/>
  <c r="R7" i="1"/>
  <c r="R38" i="1" s="1"/>
  <c r="T38" i="1" s="1"/>
  <c r="K16" i="1"/>
  <c r="L11" i="1"/>
  <c r="I74" i="2"/>
  <c r="H74" i="2"/>
  <c r="C75" i="2"/>
  <c r="C12" i="2"/>
  <c r="S14" i="1"/>
  <c r="D10" i="2"/>
  <c r="T8" i="1"/>
  <c r="D6" i="2"/>
  <c r="B19" i="2"/>
  <c r="B27" i="2"/>
  <c r="B42" i="2" s="1"/>
  <c r="T9" i="1"/>
  <c r="D7" i="2"/>
  <c r="L13" i="1"/>
  <c r="K7" i="1"/>
  <c r="K13" i="1"/>
  <c r="L7" i="1"/>
  <c r="K15" i="1"/>
  <c r="L26" i="1"/>
  <c r="L27" i="1"/>
  <c r="K29" i="1"/>
  <c r="S29" i="1" s="1"/>
  <c r="F40" i="2"/>
  <c r="J6" i="2"/>
  <c r="R39" i="1"/>
  <c r="T39" i="1" s="1"/>
  <c r="I6" i="2"/>
  <c r="Q39" i="1"/>
  <c r="S39" i="1" s="1"/>
  <c r="L47" i="1"/>
  <c r="T40" i="1"/>
  <c r="K6" i="1"/>
  <c r="L10" i="1"/>
  <c r="H42" i="2"/>
  <c r="K9" i="1"/>
  <c r="K25" i="1"/>
  <c r="M7" i="1"/>
  <c r="N13" i="1"/>
  <c r="F11" i="2" s="1"/>
  <c r="F45" i="2" s="1"/>
  <c r="N7" i="1"/>
  <c r="M13" i="1"/>
  <c r="E11" i="2" s="1"/>
  <c r="E45" i="2" s="1"/>
  <c r="O16" i="1"/>
  <c r="G14" i="2" s="1"/>
  <c r="G48" i="2" s="1"/>
  <c r="M11" i="1"/>
  <c r="E9" i="2" s="1"/>
  <c r="E43" i="2" s="1"/>
  <c r="O11" i="1"/>
  <c r="G9" i="2" s="1"/>
  <c r="G43" i="2" s="1"/>
  <c r="G73" i="2"/>
  <c r="K73" i="2"/>
  <c r="R43" i="1" l="1"/>
  <c r="T43" i="1" s="1"/>
  <c r="Q46" i="1"/>
  <c r="S46" i="1" s="1"/>
  <c r="H19" i="2"/>
  <c r="R41" i="1"/>
  <c r="T41" i="1" s="1"/>
  <c r="N30" i="1"/>
  <c r="M30" i="1"/>
  <c r="T27" i="1"/>
  <c r="Q17" i="1"/>
  <c r="R45" i="1"/>
  <c r="T45" i="1" s="1"/>
  <c r="Q30" i="1"/>
  <c r="S26" i="1"/>
  <c r="T28" i="1"/>
  <c r="T26" i="1"/>
  <c r="S7" i="1"/>
  <c r="N17" i="1"/>
  <c r="F19" i="2"/>
  <c r="P17" i="1"/>
  <c r="F18" i="2"/>
  <c r="S28" i="1"/>
  <c r="J13" i="2"/>
  <c r="J47" i="2" s="1"/>
  <c r="I7" i="2"/>
  <c r="M17" i="1"/>
  <c r="G18" i="2"/>
  <c r="D8" i="2"/>
  <c r="T10" i="1"/>
  <c r="J40" i="2"/>
  <c r="C11" i="2"/>
  <c r="S13" i="1"/>
  <c r="D44" i="2"/>
  <c r="L44" i="2" s="1"/>
  <c r="L10" i="2"/>
  <c r="C8" i="2"/>
  <c r="S10" i="1"/>
  <c r="T25" i="1"/>
  <c r="L30" i="1"/>
  <c r="F15" i="2"/>
  <c r="F39" i="2"/>
  <c r="F49" i="2" s="1"/>
  <c r="I41" i="2"/>
  <c r="J42" i="2"/>
  <c r="K74" i="2"/>
  <c r="G74" i="2"/>
  <c r="E18" i="2"/>
  <c r="H39" i="2"/>
  <c r="H49" i="2" s="1"/>
  <c r="H15" i="2"/>
  <c r="G15" i="2"/>
  <c r="G39" i="2"/>
  <c r="D5" i="2"/>
  <c r="T6" i="1"/>
  <c r="L17" i="1"/>
  <c r="J74" i="2"/>
  <c r="F74" i="2"/>
  <c r="E17" i="2"/>
  <c r="D13" i="2"/>
  <c r="T15" i="1"/>
  <c r="O17" i="1"/>
  <c r="S6" i="1"/>
  <c r="K17" i="1"/>
  <c r="C5" i="2"/>
  <c r="F17" i="2"/>
  <c r="L6" i="2"/>
  <c r="D40" i="2"/>
  <c r="I40" i="2"/>
  <c r="C13" i="2"/>
  <c r="S15" i="1"/>
  <c r="D11" i="2"/>
  <c r="T13" i="1"/>
  <c r="K12" i="2"/>
  <c r="C46" i="2"/>
  <c r="K46" i="2" s="1"/>
  <c r="D9" i="2"/>
  <c r="T11" i="1"/>
  <c r="I11" i="2"/>
  <c r="I45" i="2" s="1"/>
  <c r="Q44" i="1"/>
  <c r="S44" i="1" s="1"/>
  <c r="G42" i="2"/>
  <c r="G19" i="2"/>
  <c r="J39" i="2"/>
  <c r="G17" i="2"/>
  <c r="S12" i="1"/>
  <c r="C10" i="2"/>
  <c r="I39" i="2"/>
  <c r="E19" i="2"/>
  <c r="H18" i="2"/>
  <c r="I42" i="2"/>
  <c r="H17" i="2"/>
  <c r="S11" i="1"/>
  <c r="K30" i="1"/>
  <c r="S25" i="1"/>
  <c r="S9" i="1"/>
  <c r="C7" i="2"/>
  <c r="E39" i="2"/>
  <c r="E49" i="2" s="1"/>
  <c r="E15" i="2"/>
  <c r="T7" i="1"/>
  <c r="D41" i="2"/>
  <c r="L7" i="2"/>
  <c r="H75" i="2"/>
  <c r="C76" i="2"/>
  <c r="I75" i="2"/>
  <c r="C14" i="2"/>
  <c r="S16" i="1"/>
  <c r="J11" i="2"/>
  <c r="J45" i="2" s="1"/>
  <c r="R44" i="1"/>
  <c r="T44" i="1" s="1"/>
  <c r="J41" i="2"/>
  <c r="R17" i="1"/>
  <c r="T14" i="1"/>
  <c r="D12" i="2"/>
  <c r="S8" i="1"/>
  <c r="C6" i="2"/>
  <c r="D14" i="2"/>
  <c r="T16" i="1"/>
  <c r="S38" i="1"/>
  <c r="K9" i="2"/>
  <c r="C43" i="2"/>
  <c r="K43" i="2" s="1"/>
  <c r="S30" i="1" l="1"/>
  <c r="T30" i="1"/>
  <c r="T47" i="1"/>
  <c r="G49" i="2"/>
  <c r="J49" i="2"/>
  <c r="D17" i="2"/>
  <c r="L40" i="2"/>
  <c r="J18" i="2"/>
  <c r="I19" i="2"/>
  <c r="I15" i="2"/>
  <c r="D48" i="2"/>
  <c r="L48" i="2" s="1"/>
  <c r="L14" i="2"/>
  <c r="I49" i="2"/>
  <c r="C17" i="2"/>
  <c r="C40" i="2"/>
  <c r="K40" i="2" s="1"/>
  <c r="K6" i="2"/>
  <c r="C77" i="2"/>
  <c r="H76" i="2"/>
  <c r="I76" i="2"/>
  <c r="L41" i="2"/>
  <c r="C18" i="2"/>
  <c r="K7" i="2"/>
  <c r="C41" i="2"/>
  <c r="K41" i="2" s="1"/>
  <c r="C44" i="2"/>
  <c r="K44" i="2" s="1"/>
  <c r="K10" i="2"/>
  <c r="J15" i="2"/>
  <c r="C47" i="2"/>
  <c r="K47" i="2" s="1"/>
  <c r="K13" i="2"/>
  <c r="D47" i="2"/>
  <c r="L47" i="2" s="1"/>
  <c r="L13" i="2"/>
  <c r="Q47" i="1"/>
  <c r="J19" i="2"/>
  <c r="K8" i="2"/>
  <c r="C42" i="2"/>
  <c r="K42" i="2" s="1"/>
  <c r="C19" i="2"/>
  <c r="F75" i="2"/>
  <c r="J75" i="2"/>
  <c r="I17" i="2"/>
  <c r="S17" i="1"/>
  <c r="T17" i="1"/>
  <c r="R47" i="1"/>
  <c r="C45" i="2"/>
  <c r="K45" i="2" s="1"/>
  <c r="K11" i="2"/>
  <c r="K75" i="2"/>
  <c r="G75" i="2"/>
  <c r="D18" i="2"/>
  <c r="C15" i="2"/>
  <c r="K5" i="2"/>
  <c r="C39" i="2"/>
  <c r="S47" i="1"/>
  <c r="D46" i="2"/>
  <c r="L46" i="2" s="1"/>
  <c r="L12" i="2"/>
  <c r="C48" i="2"/>
  <c r="K48" i="2" s="1"/>
  <c r="K14" i="2"/>
  <c r="L9" i="2"/>
  <c r="D43" i="2"/>
  <c r="L43" i="2" s="1"/>
  <c r="D45" i="2"/>
  <c r="L45" i="2" s="1"/>
  <c r="L11" i="2"/>
  <c r="L5" i="2"/>
  <c r="D39" i="2"/>
  <c r="D15" i="2"/>
  <c r="I18" i="2"/>
  <c r="J17" i="2"/>
  <c r="D42" i="2"/>
  <c r="L42" i="2" s="1"/>
  <c r="D19" i="2"/>
  <c r="L8" i="2"/>
  <c r="L17" i="2" l="1"/>
  <c r="F76" i="2"/>
  <c r="J76" i="2"/>
  <c r="L15" i="2"/>
  <c r="K15" i="2"/>
  <c r="I77" i="2"/>
  <c r="H77" i="2"/>
  <c r="C78" i="2"/>
  <c r="D49" i="2"/>
  <c r="L39" i="2"/>
  <c r="L49" i="2" s="1"/>
  <c r="C49" i="2"/>
  <c r="K39" i="2"/>
  <c r="K49" i="2" s="1"/>
  <c r="K19" i="2"/>
  <c r="K18" i="2"/>
  <c r="L19" i="2"/>
  <c r="L18" i="2"/>
  <c r="K17" i="2"/>
  <c r="K76" i="2"/>
  <c r="G76" i="2"/>
  <c r="H78" i="2" l="1"/>
  <c r="C79" i="2"/>
  <c r="I78" i="2"/>
  <c r="J77" i="2"/>
  <c r="F77" i="2"/>
  <c r="K77" i="2"/>
  <c r="G77" i="2"/>
  <c r="G78" i="2" l="1"/>
  <c r="K78" i="2"/>
  <c r="C80" i="2"/>
  <c r="H79" i="2"/>
  <c r="I79" i="2"/>
  <c r="J78" i="2"/>
  <c r="F78" i="2"/>
  <c r="F79" i="2" l="1"/>
  <c r="J79" i="2"/>
  <c r="C81" i="2"/>
  <c r="H80" i="2"/>
  <c r="I80" i="2"/>
  <c r="K79" i="2"/>
  <c r="G79" i="2"/>
  <c r="J80" i="2" l="1"/>
  <c r="F80" i="2"/>
  <c r="I81" i="2"/>
  <c r="H81" i="2"/>
  <c r="C82" i="2"/>
  <c r="K80" i="2"/>
  <c r="G80" i="2"/>
  <c r="G81" i="2" l="1"/>
  <c r="K81" i="2"/>
  <c r="J81" i="2"/>
  <c r="F81" i="2"/>
  <c r="C83" i="2"/>
  <c r="H82" i="2"/>
  <c r="I82" i="2"/>
  <c r="G82" i="2" l="1"/>
  <c r="K82" i="2"/>
  <c r="J82" i="2"/>
  <c r="F82" i="2"/>
  <c r="I83" i="2"/>
  <c r="C84" i="2"/>
  <c r="H83" i="2"/>
  <c r="K83" i="2" l="1"/>
  <c r="G83" i="2"/>
  <c r="J83" i="2"/>
  <c r="F83" i="2"/>
  <c r="C85" i="2"/>
  <c r="H84" i="2"/>
  <c r="I84" i="2"/>
  <c r="G84" i="2" l="1"/>
  <c r="K84" i="2"/>
  <c r="I85" i="2"/>
  <c r="C86" i="2"/>
  <c r="H85" i="2"/>
  <c r="J84" i="2"/>
  <c r="F84" i="2"/>
  <c r="F85" i="2" l="1"/>
  <c r="J85" i="2"/>
  <c r="I86" i="2"/>
  <c r="C87" i="2"/>
  <c r="H86" i="2"/>
  <c r="G85" i="2"/>
  <c r="K85" i="2"/>
  <c r="J86" i="2" l="1"/>
  <c r="F86" i="2"/>
  <c r="I87" i="2"/>
  <c r="H87" i="2"/>
  <c r="C88" i="2"/>
  <c r="K86" i="2"/>
  <c r="G86" i="2"/>
  <c r="J87" i="2" l="1"/>
  <c r="F87" i="2"/>
  <c r="K87" i="2"/>
  <c r="G87" i="2"/>
  <c r="C89" i="2"/>
  <c r="H88" i="2"/>
  <c r="I88" i="2"/>
  <c r="G88" i="2" l="1"/>
  <c r="K88" i="2"/>
  <c r="I89" i="2"/>
  <c r="C90" i="2"/>
  <c r="H89" i="2"/>
  <c r="F88" i="2"/>
  <c r="J88" i="2"/>
  <c r="F89" i="2" l="1"/>
  <c r="J89" i="2"/>
  <c r="I90" i="2"/>
  <c r="H90" i="2"/>
  <c r="C91" i="2"/>
  <c r="K89" i="2"/>
  <c r="G89" i="2"/>
  <c r="J90" i="2" l="1"/>
  <c r="F90" i="2"/>
  <c r="K90" i="2"/>
  <c r="G90" i="2"/>
  <c r="H91" i="2"/>
  <c r="C92" i="2"/>
  <c r="I91" i="2"/>
  <c r="F91" i="2" l="1"/>
  <c r="J91" i="2"/>
  <c r="K91" i="2"/>
  <c r="G91" i="2"/>
  <c r="C93" i="2"/>
  <c r="H92" i="2"/>
  <c r="I92" i="2"/>
  <c r="K92" i="2" l="1"/>
  <c r="G92" i="2"/>
  <c r="I93" i="2"/>
  <c r="H93" i="2"/>
  <c r="C94" i="2"/>
  <c r="F92" i="2"/>
  <c r="J92" i="2"/>
  <c r="J93" i="2" l="1"/>
  <c r="F93" i="2"/>
  <c r="K93" i="2"/>
  <c r="G93" i="2"/>
  <c r="H94" i="2"/>
  <c r="C95" i="2"/>
  <c r="I94" i="2"/>
  <c r="J94" i="2" l="1"/>
  <c r="F94" i="2"/>
  <c r="G94" i="2"/>
  <c r="K94" i="2"/>
  <c r="C96" i="2"/>
  <c r="I95" i="2"/>
  <c r="H95" i="2"/>
  <c r="F95" i="2" l="1"/>
  <c r="J95" i="2"/>
  <c r="C97" i="2"/>
  <c r="H96" i="2"/>
  <c r="I96" i="2"/>
  <c r="K95" i="2"/>
  <c r="G95" i="2"/>
  <c r="J96" i="2" l="1"/>
  <c r="F96" i="2"/>
  <c r="K96" i="2"/>
  <c r="G96" i="2"/>
  <c r="I97" i="2"/>
  <c r="H97" i="2"/>
  <c r="C98" i="2"/>
  <c r="G97" i="2" l="1"/>
  <c r="K97" i="2"/>
  <c r="J97" i="2"/>
  <c r="F97" i="2"/>
  <c r="C99" i="2"/>
  <c r="I98" i="2"/>
  <c r="H98" i="2"/>
  <c r="J98" i="2" l="1"/>
  <c r="F98" i="2"/>
  <c r="I99" i="2"/>
  <c r="C100" i="2"/>
  <c r="H99" i="2"/>
  <c r="G98" i="2"/>
  <c r="K98" i="2"/>
  <c r="J99" i="2" l="1"/>
  <c r="F99" i="2"/>
  <c r="H100" i="2"/>
  <c r="I100" i="2"/>
  <c r="K99" i="2"/>
  <c r="G99" i="2"/>
  <c r="G100" i="2" l="1"/>
  <c r="K100" i="2"/>
  <c r="J100" i="2"/>
  <c r="F100" i="2"/>
</calcChain>
</file>

<file path=xl/sharedStrings.xml><?xml version="1.0" encoding="utf-8"?>
<sst xmlns="http://schemas.openxmlformats.org/spreadsheetml/2006/main" count="367" uniqueCount="186">
  <si>
    <t>RECON DATE</t>
  </si>
  <si>
    <t>DEBIT IN BANK</t>
  </si>
  <si>
    <t>DEBITS IN LEDGER</t>
  </si>
  <si>
    <t>CR IN BANK</t>
  </si>
  <si>
    <t>CR IN LEDGER</t>
  </si>
  <si>
    <t>BFL-HDFC-UPI COLLECTION INTEGRATION 4310</t>
  </si>
  <si>
    <t>BANK A/C NO</t>
  </si>
  <si>
    <t>57500001294310</t>
  </si>
  <si>
    <t>Book Bal As per BRS ( Finnone + Pennant)</t>
  </si>
  <si>
    <t>As per bank</t>
  </si>
  <si>
    <t>TD*</t>
  </si>
  <si>
    <t>WD*</t>
  </si>
  <si>
    <t>TC*</t>
  </si>
  <si>
    <t>WC*</t>
  </si>
  <si>
    <t>LEDGER CODE</t>
  </si>
  <si>
    <t>HDFCCOLL4310</t>
  </si>
  <si>
    <t>TAT</t>
  </si>
  <si>
    <t>DR IN BANK</t>
  </si>
  <si>
    <t>DR IN LEDGER</t>
  </si>
  <si>
    <t>TOTAL
COUNT</t>
  </si>
  <si>
    <t>TOTAL
AMOUNT</t>
  </si>
  <si>
    <t>COUNT</t>
  </si>
  <si>
    <t>AMOUNT</t>
  </si>
  <si>
    <t>PARTICULARS</t>
  </si>
  <si>
    <t>TOTAL COUNT</t>
  </si>
  <si>
    <t xml:space="preserve">TOTAL AMT </t>
  </si>
  <si>
    <t>BANK ID</t>
  </si>
  <si>
    <t>-104450185.58</t>
  </si>
  <si>
    <t>CR</t>
  </si>
  <si>
    <t>A</t>
  </si>
  <si>
    <t>DR</t>
  </si>
  <si>
    <t>A1</t>
  </si>
  <si>
    <t>CLOSING BALANCE AS PER (BOOK) MILES- 13251 AS OF BANK A/C NO</t>
  </si>
  <si>
    <t>ADD</t>
  </si>
  <si>
    <t>Annex 2- Bank Statement Credit</t>
  </si>
  <si>
    <t>B</t>
  </si>
  <si>
    <t>Annex 4- Bank book (Ledger) Credit</t>
  </si>
  <si>
    <t>C</t>
  </si>
  <si>
    <t>Total Credits (Statement + Book )</t>
  </si>
  <si>
    <t>D=B+C</t>
  </si>
  <si>
    <t>LESS</t>
  </si>
  <si>
    <t>Annex 1- Bank Statement Debit</t>
  </si>
  <si>
    <t>E</t>
  </si>
  <si>
    <t>GRAND TOTAL</t>
  </si>
  <si>
    <t>Annex 3- Bank book (Ledger) Debit</t>
  </si>
  <si>
    <t>F</t>
  </si>
  <si>
    <t>Total Debits (Statement + Book )</t>
  </si>
  <si>
    <t>G=E+F</t>
  </si>
  <si>
    <t>TOTAL (ALL ANEXURES)</t>
  </si>
  <si>
    <t>H=A+A1+D-G</t>
  </si>
  <si>
    <t>BRS Open Debit Transaction &gt; 50K</t>
  </si>
  <si>
    <t>-</t>
  </si>
  <si>
    <t>I</t>
  </si>
  <si>
    <t>DIFF</t>
  </si>
  <si>
    <t>J=H-I</t>
  </si>
  <si>
    <t>0 to 3 Days</t>
  </si>
  <si>
    <t>4 to 7 Days</t>
  </si>
  <si>
    <t>8 to 15 Days</t>
  </si>
  <si>
    <t>16 to 30 Days</t>
  </si>
  <si>
    <t>31 to 60 Days</t>
  </si>
  <si>
    <t>61 to 90 Days</t>
  </si>
  <si>
    <t>91 to 180 Days</t>
  </si>
  <si>
    <t>181 to 270 Days</t>
  </si>
  <si>
    <t>271 to 360 Days</t>
  </si>
  <si>
    <t>anx 1</t>
  </si>
  <si>
    <t>Cheque Return</t>
  </si>
  <si>
    <t>BFL_Realisation Team</t>
  </si>
  <si>
    <t>Fund transfer entry</t>
  </si>
  <si>
    <t>BFL_Recon Team</t>
  </si>
  <si>
    <t>TOTAL 
COUNT</t>
  </si>
  <si>
    <t>TOTAL 
AMOUNT</t>
  </si>
  <si>
    <t>Anx 3</t>
  </si>
  <si>
    <t>Bounce updation pending</t>
  </si>
  <si>
    <t>ANX 2</t>
  </si>
  <si>
    <t>Receipt not updated</t>
  </si>
  <si>
    <t>Charges entry</t>
  </si>
  <si>
    <t>For mail</t>
  </si>
  <si>
    <t>bhfl team finone</t>
  </si>
  <si>
    <t>omkar for pennant_m</t>
  </si>
  <si>
    <t>Previous</t>
  </si>
  <si>
    <t>Diff</t>
  </si>
  <si>
    <t>Daywise Summary :</t>
  </si>
  <si>
    <t>Date</t>
  </si>
  <si>
    <t>Received Credits</t>
  </si>
  <si>
    <t>Updated Credits</t>
  </si>
  <si>
    <t>Pending Credits</t>
  </si>
  <si>
    <t>Pending Credits%</t>
  </si>
  <si>
    <t>Count</t>
  </si>
  <si>
    <t>Amount</t>
  </si>
  <si>
    <t>…</t>
  </si>
  <si>
    <t>Start Month</t>
  </si>
  <si>
    <t>BANK</t>
  </si>
  <si>
    <t>VALUE</t>
  </si>
  <si>
    <t>Recon Date</t>
  </si>
  <si>
    <t>Dr</t>
  </si>
  <si>
    <t>AGEING</t>
  </si>
  <si>
    <t>SLA STATUS</t>
  </si>
  <si>
    <t>MONTHS</t>
  </si>
  <si>
    <t>Book Date</t>
  </si>
  <si>
    <t>Description</t>
  </si>
  <si>
    <t>Ledger Balance</t>
  </si>
  <si>
    <t>Credit</t>
  </si>
  <si>
    <t>Debit</t>
  </si>
  <si>
    <t>Value Date</t>
  </si>
  <si>
    <t>Reference No</t>
  </si>
  <si>
    <t>Transaction Branch</t>
  </si>
  <si>
    <t>DR/CR</t>
  </si>
  <si>
    <t>REMARKS</t>
  </si>
  <si>
    <t>REASONING MIS</t>
  </si>
  <si>
    <t>FPR DETAILS</t>
  </si>
  <si>
    <t>00070350000180   EOD SWEEP</t>
  </si>
  <si>
    <t>BHANDARKAR ROAD</t>
  </si>
  <si>
    <t>Receipt updated in BILLDISK Correction entry passed as on 03-02-2024</t>
  </si>
  <si>
    <t>Recon Team</t>
  </si>
  <si>
    <t>Receipt updated in Emp two Wheeler Finance A/c-Rectification to be done</t>
  </si>
  <si>
    <t>Receipt updated in Emp two Wheeler Finance A/c</t>
  </si>
  <si>
    <t>External MID</t>
  </si>
  <si>
    <t>External TID</t>
  </si>
  <si>
    <t>UPI Merchant ID</t>
  </si>
  <si>
    <t>Merchant Name</t>
  </si>
  <si>
    <t>Merchant VPA</t>
  </si>
  <si>
    <t>Payer VPA</t>
  </si>
  <si>
    <t>UPI Trxn ID</t>
  </si>
  <si>
    <t>Order ID</t>
  </si>
  <si>
    <t>Txn ref no. (RRN)</t>
  </si>
  <si>
    <t>Transaction Req Date</t>
  </si>
  <si>
    <t>Settlement Date</t>
  </si>
  <si>
    <t>Currency</t>
  </si>
  <si>
    <t>Transaction</t>
  </si>
  <si>
    <t>CGST AMT</t>
  </si>
  <si>
    <t>SGST AMT</t>
  </si>
  <si>
    <t>IGST AMT</t>
  </si>
  <si>
    <t>UTGST AMT</t>
  </si>
  <si>
    <t>Net</t>
  </si>
  <si>
    <t>Trans Type</t>
  </si>
  <si>
    <t>Pay Type</t>
  </si>
  <si>
    <t>CR / DR</t>
  </si>
  <si>
    <t>Additional Field 1</t>
  </si>
  <si>
    <t>Additional Field 2</t>
  </si>
  <si>
    <t>Additional Field 3</t>
  </si>
  <si>
    <t>Additional Field 4</t>
  </si>
  <si>
    <t>Additional Field 5</t>
  </si>
  <si>
    <t>Future Free Field 1</t>
  </si>
  <si>
    <t>LEDGER</t>
  </si>
  <si>
    <t>Receipt Pertain To UPI COLLECTION</t>
  </si>
  <si>
    <t>Diff-CL</t>
  </si>
  <si>
    <t>DATE</t>
  </si>
  <si>
    <t>VOUCHERID</t>
  </si>
  <si>
    <t>NARRATION</t>
  </si>
  <si>
    <t>REFERENCE</t>
  </si>
  <si>
    <t>DEALID</t>
  </si>
  <si>
    <t>CUSTOMER NAME</t>
  </si>
  <si>
    <t>TRANSACTION ID</t>
  </si>
  <si>
    <t>MAKER ID</t>
  </si>
  <si>
    <t>CHECKER ID</t>
  </si>
  <si>
    <t>VALUE_DATE</t>
  </si>
  <si>
    <t>DIVISION</t>
  </si>
  <si>
    <t>LOCATION</t>
  </si>
  <si>
    <t>LAN NO</t>
  </si>
  <si>
    <t>CHEQUE NO</t>
  </si>
  <si>
    <t>CHEQUE ID</t>
  </si>
  <si>
    <t>BRANCH CODE</t>
  </si>
  <si>
    <t>BRANCH NAME</t>
  </si>
  <si>
    <t>INSTALMENT NO</t>
  </si>
  <si>
    <t>Date of Cr</t>
  </si>
  <si>
    <t>Matching1</t>
  </si>
  <si>
    <t>Matching2</t>
  </si>
  <si>
    <t>Diff-DL</t>
  </si>
  <si>
    <t>DB OPS MUMBAI</t>
  </si>
  <si>
    <t>Statement of Account</t>
  </si>
  <si>
    <t>Account No          : 57500001294310</t>
  </si>
  <si>
    <t>Customer Name       : BAJAJ FINANCE LIMITE</t>
  </si>
  <si>
    <t>Currency            : INR</t>
  </si>
  <si>
    <t>Opening Balance     : 0.00</t>
  </si>
  <si>
    <t>Closing Balance     : 0.00</t>
  </si>
  <si>
    <t>From Date           : 14/02/2024</t>
  </si>
  <si>
    <t>To Date             : 14/02/2024</t>
  </si>
  <si>
    <t>Total Debit Count   : 1</t>
  </si>
  <si>
    <t>Total Credit Count  : 1</t>
  </si>
  <si>
    <t>Total Debit Amount  : 628918.89</t>
  </si>
  <si>
    <t>Total Credit Amount : 628918.89</t>
  </si>
  <si>
    <t>Transaction Date</t>
  </si>
  <si>
    <t>C.D.Falg</t>
  </si>
  <si>
    <t>Branch Name</t>
  </si>
  <si>
    <t>UPI SETTLEMENT -DLJ872- 14/02/24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</si>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</sst>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_);\(0\)"/>
    <numFmt numFmtId="165" formatCode="#,##0.00\ ;&quot; (&quot;#,##0.00\);&quot; -&quot;#\ ;@\ "/>
    <numFmt numFmtId="166" formatCode="mmm\-yyyy"/>
    <numFmt numFmtId="167" formatCode="0;[Red]0"/>
    <numFmt numFmtId="168" formatCode="_(* #,##0_);_(* \(#,##0\);_(* \-??_);_(@_)"/>
    <numFmt numFmtId="169" formatCode="0.00_);\(0.00\)"/>
    <numFmt numFmtId="170" formatCode="_(* #,##0_);_(* \(#,##0\);_(* &quot;-&quot;??_);_(@_)"/>
    <numFmt numFmtId="171" formatCode="[$-409]d\-mmm\-yy;@"/>
    <numFmt numFmtId="172" formatCode="[$-809]dd\ mmmm\ yyyy;@"/>
    <numFmt numFmtId="173" formatCode="dd/mm/yyyy;@"/>
    <numFmt numFmtId="174" formatCode="d\-mmm\-yy;@"/>
    <numFmt numFmtId="175" formatCode="_ * #,##0.00_ ;_ * \-#,##0.00_ ;_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rgb="FFCCC1DA"/>
      </patternFill>
    </fill>
    <fill>
      <patternFill patternType="solid">
        <fgColor rgb="FFC6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55">
    <xf numFmtId="0" fontId="0" fillId="0" borderId="0"/>
    <xf numFmtId="9" fontId="34" fillId="0" borderId="0"/>
    <xf numFmtId="0" fontId="7" fillId="0" borderId="0"/>
    <xf numFmtId="43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175" fontId="34" fillId="0" borderId="0"/>
    <xf numFmtId="175" fontId="34" fillId="0" borderId="0"/>
    <xf numFmtId="0" fontId="8" fillId="0" borderId="0"/>
    <xf numFmtId="0" fontId="4" fillId="0" borderId="0"/>
    <xf numFmtId="175" fontId="34" fillId="0" borderId="0"/>
    <xf numFmtId="175" fontId="34" fillId="0" borderId="0"/>
    <xf numFmtId="0" fontId="9" fillId="0" borderId="0"/>
    <xf numFmtId="0" fontId="10" fillId="8" borderId="0"/>
    <xf numFmtId="0" fontId="34" fillId="2" borderId="0"/>
    <xf numFmtId="0" fontId="34" fillId="3" borderId="0"/>
    <xf numFmtId="0" fontId="34" fillId="4" borderId="0"/>
    <xf numFmtId="0" fontId="34" fillId="5" borderId="0"/>
    <xf numFmtId="0" fontId="34" fillId="6" borderId="0"/>
    <xf numFmtId="0" fontId="34" fillId="7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3" fillId="8" borderId="0"/>
    <xf numFmtId="0" fontId="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16" fillId="0" borderId="0"/>
    <xf numFmtId="0" fontId="34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3" fillId="8" borderId="0"/>
    <xf numFmtId="0" fontId="34" fillId="9" borderId="2"/>
    <xf numFmtId="9" fontId="34" fillId="0" borderId="0"/>
    <xf numFmtId="0" fontId="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16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33" fillId="0" borderId="0"/>
    <xf numFmtId="0" fontId="43" fillId="0" borderId="0"/>
    <xf numFmtId="0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33" fillId="0" borderId="0"/>
  </cellStyleXfs>
  <cellXfs count="244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1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15" fontId="27" fillId="0" borderId="0" xfId="0" applyNumberFormat="1" applyFont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37" fontId="27" fillId="0" borderId="0" xfId="0" applyNumberFormat="1" applyFont="1" applyAlignment="1" applyProtection="1">
      <alignment horizontal="center" vertical="center"/>
      <protection hidden="1"/>
    </xf>
    <xf numFmtId="0" fontId="28" fillId="0" borderId="0" xfId="0" applyFont="1"/>
    <xf numFmtId="49" fontId="27" fillId="10" borderId="1" xfId="0" applyNumberFormat="1" applyFont="1" applyFill="1" applyBorder="1" applyAlignment="1" applyProtection="1">
      <alignment horizontal="center" vertical="center"/>
      <protection hidden="1"/>
    </xf>
    <xf numFmtId="37" fontId="27" fillId="11" borderId="1" xfId="0" applyNumberFormat="1" applyFont="1" applyFill="1" applyBorder="1" applyAlignment="1" applyProtection="1">
      <alignment horizontal="center" vertical="center"/>
      <protection hidden="1"/>
    </xf>
    <xf numFmtId="0" fontId="28" fillId="0" borderId="1" xfId="0" applyFont="1" applyBorder="1" applyAlignment="1" applyProtection="1">
      <alignment horizontal="center" vertical="center"/>
      <protection hidden="1"/>
    </xf>
    <xf numFmtId="2" fontId="28" fillId="0" borderId="1" xfId="0" applyNumberFormat="1" applyFont="1" applyBorder="1" applyAlignment="1" applyProtection="1">
      <alignment horizontal="right" vertical="center"/>
      <protection hidden="1"/>
    </xf>
    <xf numFmtId="1" fontId="28" fillId="0" borderId="1" xfId="0" applyNumberFormat="1" applyFont="1" applyBorder="1" applyAlignment="1" applyProtection="1">
      <alignment horizontal="center" vertical="center"/>
      <protection hidden="1"/>
    </xf>
    <xf numFmtId="2" fontId="27" fillId="10" borderId="1" xfId="0" applyNumberFormat="1" applyFont="1" applyFill="1" applyBorder="1" applyAlignment="1" applyProtection="1">
      <alignment horizontal="right" vertical="center"/>
      <protection hidden="1"/>
    </xf>
    <xf numFmtId="0" fontId="27" fillId="10" borderId="1" xfId="0" applyFont="1" applyFill="1" applyBorder="1" applyAlignment="1" applyProtection="1">
      <alignment horizontal="center" vertical="center"/>
      <protection hidden="1"/>
    </xf>
    <xf numFmtId="1" fontId="27" fillId="10" borderId="1" xfId="0" applyNumberFormat="1" applyFont="1" applyFill="1" applyBorder="1" applyAlignment="1" applyProtection="1">
      <alignment horizontal="center" vertical="center"/>
      <protection hidden="1"/>
    </xf>
    <xf numFmtId="0" fontId="27" fillId="13" borderId="0" xfId="0" applyFont="1" applyFill="1" applyAlignment="1" applyProtection="1">
      <alignment horizontal="center"/>
      <protection hidden="1"/>
    </xf>
    <xf numFmtId="0" fontId="27" fillId="0" borderId="1" xfId="0" applyFont="1" applyBorder="1" applyAlignment="1" applyProtection="1">
      <alignment horizontal="center"/>
      <protection hidden="1"/>
    </xf>
    <xf numFmtId="2" fontId="27" fillId="10" borderId="1" xfId="0" applyNumberFormat="1" applyFont="1" applyFill="1" applyBorder="1" applyAlignment="1" applyProtection="1">
      <alignment horizontal="right"/>
      <protection hidden="1"/>
    </xf>
    <xf numFmtId="2" fontId="28" fillId="0" borderId="1" xfId="0" applyNumberFormat="1" applyFont="1" applyBorder="1" applyAlignment="1" applyProtection="1">
      <alignment horizontal="right"/>
      <protection hidden="1"/>
    </xf>
    <xf numFmtId="0" fontId="28" fillId="0" borderId="1" xfId="0" applyFont="1" applyBorder="1" applyAlignment="1" applyProtection="1">
      <alignment horizontal="center"/>
      <protection hidden="1"/>
    </xf>
    <xf numFmtId="0" fontId="30" fillId="0" borderId="0" xfId="0" applyFont="1" applyAlignment="1" applyProtection="1">
      <alignment vertical="center"/>
      <protection hidden="1"/>
    </xf>
    <xf numFmtId="0" fontId="31" fillId="14" borderId="1" xfId="0" applyFont="1" applyFill="1" applyBorder="1" applyAlignment="1" applyProtection="1">
      <alignment horizontal="center" vertical="center"/>
      <protection hidden="1"/>
    </xf>
    <xf numFmtId="37" fontId="31" fillId="14" borderId="1" xfId="0" applyNumberFormat="1" applyFont="1" applyFill="1" applyBorder="1" applyAlignment="1" applyProtection="1">
      <alignment horizontal="center" vertical="center"/>
      <protection hidden="1"/>
    </xf>
    <xf numFmtId="15" fontId="28" fillId="0" borderId="1" xfId="0" applyNumberFormat="1" applyFont="1" applyBorder="1" applyAlignment="1" applyProtection="1">
      <alignment horizontal="right" vertical="center"/>
      <protection hidden="1"/>
    </xf>
    <xf numFmtId="0" fontId="31" fillId="0" borderId="1" xfId="0" applyFont="1" applyBorder="1" applyAlignment="1" applyProtection="1">
      <alignment horizontal="center" vertical="center"/>
      <protection hidden="1"/>
    </xf>
    <xf numFmtId="9" fontId="28" fillId="0" borderId="1" xfId="1" applyFont="1" applyBorder="1"/>
    <xf numFmtId="15" fontId="28" fillId="0" borderId="1" xfId="0" applyNumberFormat="1" applyFont="1" applyBorder="1"/>
    <xf numFmtId="0" fontId="34" fillId="0" borderId="0" xfId="0" applyFont="1" applyAlignment="1">
      <alignment horizontal="center" vertical="center"/>
    </xf>
    <xf numFmtId="0" fontId="37" fillId="0" borderId="0" xfId="0" applyFont="1" applyAlignment="1" applyProtection="1">
      <alignment horizontal="center" vertical="center"/>
      <protection hidden="1"/>
    </xf>
    <xf numFmtId="49" fontId="37" fillId="0" borderId="0" xfId="0" applyNumberFormat="1" applyFont="1" applyAlignment="1" applyProtection="1">
      <alignment horizontal="center" vertical="center"/>
      <protection hidden="1"/>
    </xf>
    <xf numFmtId="37" fontId="37" fillId="0" borderId="0" xfId="0" applyNumberFormat="1" applyFont="1" applyAlignment="1" applyProtection="1">
      <alignment horizontal="center" vertical="center"/>
      <protection hidden="1"/>
    </xf>
    <xf numFmtId="15" fontId="38" fillId="0" borderId="0" xfId="3" applyNumberFormat="1" applyFont="1" applyAlignment="1" applyProtection="1">
      <alignment horizontal="center" vertical="center" shrinkToFit="1"/>
      <protection hidden="1"/>
    </xf>
    <xf numFmtId="2" fontId="38" fillId="0" borderId="0" xfId="3" applyNumberFormat="1" applyFont="1" applyAlignment="1" applyProtection="1">
      <alignment horizontal="center" vertical="center" shrinkToFit="1"/>
      <protection hidden="1"/>
    </xf>
    <xf numFmtId="0" fontId="38" fillId="0" borderId="0" xfId="2" applyFont="1" applyAlignment="1" applyProtection="1">
      <alignment horizontal="center" vertical="center" shrinkToFit="1"/>
      <protection hidden="1"/>
    </xf>
    <xf numFmtId="15" fontId="37" fillId="0" borderId="0" xfId="0" applyNumberFormat="1" applyFont="1" applyAlignment="1" applyProtection="1">
      <alignment horizontal="center" vertical="center"/>
      <protection hidden="1"/>
    </xf>
    <xf numFmtId="2" fontId="38" fillId="0" borderId="0" xfId="2" applyNumberFormat="1" applyFont="1" applyAlignment="1" applyProtection="1">
      <alignment horizontal="center" vertical="center" shrinkToFit="1"/>
      <protection hidden="1"/>
    </xf>
    <xf numFmtId="49" fontId="37" fillId="10" borderId="1" xfId="0" applyNumberFormat="1" applyFont="1" applyFill="1" applyBorder="1" applyAlignment="1" applyProtection="1">
      <alignment horizontal="center" vertical="center" wrapText="1"/>
      <protection hidden="1"/>
    </xf>
    <xf numFmtId="0" fontId="38" fillId="0" borderId="1" xfId="0" applyFont="1" applyBorder="1" applyAlignment="1" applyProtection="1">
      <alignment horizontal="center" vertical="center" shrinkToFit="1"/>
      <protection hidden="1"/>
    </xf>
    <xf numFmtId="0" fontId="37" fillId="11" borderId="1" xfId="0" applyFont="1" applyFill="1" applyBorder="1" applyAlignment="1" applyProtection="1">
      <alignment horizontal="center" vertical="center"/>
      <protection hidden="1"/>
    </xf>
    <xf numFmtId="37" fontId="37" fillId="11" borderId="1" xfId="0" applyNumberFormat="1" applyFont="1" applyFill="1" applyBorder="1" applyAlignment="1" applyProtection="1">
      <alignment horizontal="center" vertical="center"/>
      <protection hidden="1"/>
    </xf>
    <xf numFmtId="0" fontId="39" fillId="0" borderId="1" xfId="0" applyFont="1" applyBorder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37" fontId="39" fillId="0" borderId="0" xfId="0" applyNumberFormat="1" applyFont="1" applyAlignment="1" applyProtection="1">
      <alignment horizontal="center" vertical="center"/>
      <protection hidden="1"/>
    </xf>
    <xf numFmtId="0" fontId="37" fillId="12" borderId="1" xfId="0" applyFont="1" applyFill="1" applyBorder="1" applyAlignment="1" applyProtection="1">
      <alignment horizontal="center" vertical="center"/>
      <protection hidden="1"/>
    </xf>
    <xf numFmtId="2" fontId="38" fillId="0" borderId="1" xfId="3" applyNumberFormat="1" applyFont="1" applyBorder="1" applyAlignment="1" applyProtection="1">
      <alignment horizontal="right" vertical="center" shrinkToFit="1"/>
      <protection hidden="1"/>
    </xf>
    <xf numFmtId="2" fontId="38" fillId="0" borderId="1" xfId="0" applyNumberFormat="1" applyFont="1" applyBorder="1" applyAlignment="1" applyProtection="1">
      <alignment horizontal="center" vertical="center" shrinkToFit="1"/>
      <protection hidden="1"/>
    </xf>
    <xf numFmtId="1" fontId="38" fillId="0" borderId="1" xfId="3" applyNumberFormat="1" applyFont="1" applyBorder="1" applyAlignment="1" applyProtection="1">
      <alignment horizontal="center" vertical="center" shrinkToFit="1"/>
      <protection hidden="1"/>
    </xf>
    <xf numFmtId="1" fontId="38" fillId="0" borderId="1" xfId="0" applyNumberFormat="1" applyFont="1" applyBorder="1" applyAlignment="1" applyProtection="1">
      <alignment horizontal="center" vertical="center" shrinkToFit="1"/>
      <protection hidden="1"/>
    </xf>
    <xf numFmtId="49" fontId="37" fillId="10" borderId="1" xfId="0" applyNumberFormat="1" applyFont="1" applyFill="1" applyBorder="1" applyAlignment="1" applyProtection="1">
      <alignment horizontal="center" vertical="center"/>
      <protection hidden="1"/>
    </xf>
    <xf numFmtId="2" fontId="37" fillId="10" borderId="1" xfId="0" applyNumberFormat="1" applyFont="1" applyFill="1" applyBorder="1" applyAlignment="1" applyProtection="1">
      <alignment horizontal="right" vertical="center" wrapText="1"/>
      <protection hidden="1"/>
    </xf>
    <xf numFmtId="2" fontId="37" fillId="10" borderId="1" xfId="0" applyNumberFormat="1" applyFont="1" applyFill="1" applyBorder="1" applyAlignment="1" applyProtection="1">
      <alignment horizontal="center" vertical="center" wrapText="1"/>
      <protection hidden="1"/>
    </xf>
    <xf numFmtId="1" fontId="37" fillId="10" borderId="1" xfId="0" applyNumberFormat="1" applyFont="1" applyFill="1" applyBorder="1" applyAlignment="1" applyProtection="1">
      <alignment horizontal="center" vertical="center" wrapText="1"/>
      <protection hidden="1"/>
    </xf>
    <xf numFmtId="1" fontId="37" fillId="0" borderId="0" xfId="0" applyNumberFormat="1" applyFont="1" applyAlignment="1" applyProtection="1">
      <alignment horizontal="center" vertical="center"/>
      <protection hidden="1"/>
    </xf>
    <xf numFmtId="4" fontId="37" fillId="0" borderId="0" xfId="0" applyNumberFormat="1" applyFont="1" applyAlignment="1" applyProtection="1">
      <alignment horizontal="center" vertical="center"/>
      <protection hidden="1"/>
    </xf>
    <xf numFmtId="3" fontId="37" fillId="11" borderId="1" xfId="0" applyNumberFormat="1" applyFont="1" applyFill="1" applyBorder="1" applyAlignment="1" applyProtection="1">
      <alignment horizontal="center" vertical="center"/>
      <protection hidden="1"/>
    </xf>
    <xf numFmtId="0" fontId="37" fillId="10" borderId="1" xfId="0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41" fillId="0" borderId="0" xfId="0" applyFont="1"/>
    <xf numFmtId="0" fontId="41" fillId="0" borderId="0" xfId="0" applyFont="1" applyAlignment="1">
      <alignment horizontal="right"/>
    </xf>
    <xf numFmtId="2" fontId="41" fillId="17" borderId="8" xfId="0" applyNumberFormat="1" applyFont="1" applyFill="1" applyBorder="1" applyAlignment="1">
      <alignment horizontal="center" vertical="center"/>
    </xf>
    <xf numFmtId="2" fontId="41" fillId="0" borderId="8" xfId="0" applyNumberFormat="1" applyFont="1" applyBorder="1"/>
    <xf numFmtId="1" fontId="3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 applyProtection="1">
      <alignment horizontal="center" vertical="center"/>
      <protection hidden="1"/>
    </xf>
    <xf numFmtId="0" fontId="21" fillId="16" borderId="8" xfId="0" applyFont="1" applyFill="1" applyBorder="1" applyAlignment="1">
      <alignment horizontal="center" vertical="center"/>
    </xf>
    <xf numFmtId="1" fontId="28" fillId="0" borderId="0" xfId="0" applyNumberFormat="1" applyFont="1"/>
    <xf numFmtId="1" fontId="42" fillId="18" borderId="8" xfId="0" applyNumberFormat="1" applyFont="1" applyFill="1" applyBorder="1" applyAlignment="1" applyProtection="1">
      <alignment horizontal="center" vertical="center"/>
      <protection hidden="1"/>
    </xf>
    <xf numFmtId="3" fontId="42" fillId="18" borderId="8" xfId="0" applyNumberFormat="1" applyFont="1" applyFill="1" applyBorder="1" applyAlignment="1" applyProtection="1">
      <alignment horizontal="center" vertical="center"/>
      <protection hidden="1"/>
    </xf>
    <xf numFmtId="0" fontId="42" fillId="0" borderId="8" xfId="0" applyFont="1" applyBorder="1" applyAlignment="1" applyProtection="1">
      <alignment horizontal="center" vertical="center"/>
      <protection hidden="1"/>
    </xf>
    <xf numFmtId="1" fontId="42" fillId="0" borderId="8" xfId="0" applyNumberFormat="1" applyFont="1" applyBorder="1" applyAlignment="1" applyProtection="1">
      <alignment horizontal="center" vertical="center"/>
      <protection hidden="1"/>
    </xf>
    <xf numFmtId="3" fontId="42" fillId="0" borderId="8" xfId="0" applyNumberFormat="1" applyFont="1" applyBorder="1" applyAlignment="1" applyProtection="1">
      <alignment horizontal="center" vertical="center"/>
      <protection hidden="1"/>
    </xf>
    <xf numFmtId="0" fontId="42" fillId="19" borderId="8" xfId="0" applyFont="1" applyFill="1" applyBorder="1" applyAlignment="1" applyProtection="1">
      <alignment horizontal="center" vertical="center"/>
      <protection hidden="1"/>
    </xf>
    <xf numFmtId="0" fontId="42" fillId="18" borderId="8" xfId="0" applyFont="1" applyFill="1" applyBorder="1" applyAlignment="1" applyProtection="1">
      <alignment horizontal="left" vertical="center"/>
      <protection hidden="1"/>
    </xf>
    <xf numFmtId="2" fontId="42" fillId="0" borderId="8" xfId="0" applyNumberFormat="1" applyFont="1" applyBorder="1" applyAlignment="1" applyProtection="1">
      <alignment horizontal="center" vertical="center" wrapText="1"/>
      <protection hidden="1"/>
    </xf>
    <xf numFmtId="0" fontId="36" fillId="12" borderId="1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5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9" fontId="34" fillId="0" borderId="0" xfId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2" fontId="42" fillId="18" borderId="8" xfId="3" applyNumberFormat="1" applyFont="1" applyFill="1" applyBorder="1" applyAlignment="1" applyProtection="1">
      <alignment horizontal="right" vertical="center"/>
      <protection hidden="1"/>
    </xf>
    <xf numFmtId="2" fontId="37" fillId="0" borderId="0" xfId="0" applyNumberFormat="1" applyFont="1" applyAlignment="1" applyProtection="1">
      <alignment horizontal="center" vertical="center"/>
      <protection hidden="1"/>
    </xf>
    <xf numFmtId="0" fontId="12" fillId="15" borderId="1" xfId="0" applyFont="1" applyFill="1" applyBorder="1" applyAlignment="1">
      <alignment horizontal="center" vertical="center"/>
    </xf>
    <xf numFmtId="2" fontId="12" fillId="15" borderId="1" xfId="0" applyNumberFormat="1" applyFont="1" applyFill="1" applyBorder="1" applyAlignment="1">
      <alignment horizontal="center" vertical="center"/>
    </xf>
    <xf numFmtId="1" fontId="12" fillId="15" borderId="1" xfId="0" applyNumberFormat="1" applyFont="1" applyFill="1" applyBorder="1" applyAlignment="1">
      <alignment horizontal="center" vertical="center"/>
    </xf>
    <xf numFmtId="15" fontId="35" fillId="15" borderId="1" xfId="0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15" fontId="5" fillId="15" borderId="1" xfId="0" applyNumberFormat="1" applyFont="1" applyFill="1" applyBorder="1" applyAlignment="1">
      <alignment horizontal="center" vertical="center"/>
    </xf>
    <xf numFmtId="2" fontId="38" fillId="0" borderId="1" xfId="3" applyNumberFormat="1" applyFont="1" applyBorder="1" applyAlignment="1" applyProtection="1">
      <alignment horizontal="center" vertical="center" shrinkToFit="1"/>
      <protection hidden="1"/>
    </xf>
    <xf numFmtId="2" fontId="42" fillId="18" borderId="8" xfId="0" applyNumberFormat="1" applyFont="1" applyFill="1" applyBorder="1" applyAlignment="1" applyProtection="1">
      <alignment horizontal="center" vertical="center"/>
      <protection hidden="1"/>
    </xf>
    <xf numFmtId="2" fontId="42" fillId="0" borderId="8" xfId="0" applyNumberFormat="1" applyFont="1" applyBorder="1" applyAlignment="1" applyProtection="1">
      <alignment horizontal="center" vertical="center"/>
      <protection hidden="1"/>
    </xf>
    <xf numFmtId="0" fontId="17" fillId="0" borderId="8" xfId="0" applyFont="1" applyBorder="1" applyAlignment="1" applyProtection="1">
      <alignment horizontal="center"/>
      <protection hidden="1"/>
    </xf>
    <xf numFmtId="15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5" fillId="0" borderId="0" xfId="0" applyFont="1"/>
    <xf numFmtId="0" fontId="44" fillId="0" borderId="0" xfId="0" applyFont="1"/>
    <xf numFmtId="0" fontId="17" fillId="0" borderId="0" xfId="0" applyFont="1"/>
    <xf numFmtId="1" fontId="42" fillId="18" borderId="8" xfId="0" quotePrefix="1" applyNumberFormat="1" applyFont="1" applyFill="1" applyBorder="1" applyAlignment="1" applyProtection="1">
      <alignment horizontal="center" vertical="center"/>
      <protection hidden="1"/>
    </xf>
    <xf numFmtId="15" fontId="11" fillId="0" borderId="0" xfId="0" applyNumberFormat="1" applyFont="1" applyAlignment="1">
      <alignment horizontal="center" vertical="center"/>
    </xf>
    <xf numFmtId="1" fontId="5" fillId="20" borderId="9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7" fillId="0" borderId="8" xfId="0" applyNumberFormat="1" applyFont="1" applyBorder="1" applyAlignment="1" applyProtection="1">
      <alignment horizontal="right"/>
      <protection hidden="1"/>
    </xf>
    <xf numFmtId="1" fontId="17" fillId="0" borderId="8" xfId="0" applyNumberFormat="1" applyFont="1" applyBorder="1" applyAlignment="1" applyProtection="1">
      <alignment horizontal="center" vertical="center"/>
      <protection hidden="1"/>
    </xf>
    <xf numFmtId="2" fontId="17" fillId="0" borderId="8" xfId="0" applyNumberFormat="1" applyFont="1" applyBorder="1" applyAlignment="1" applyProtection="1">
      <alignment horizontal="right" vertical="center"/>
      <protection hidden="1"/>
    </xf>
    <xf numFmtId="22" fontId="0" fillId="0" borderId="0" xfId="0" applyNumberFormat="1"/>
    <xf numFmtId="0" fontId="5" fillId="15" borderId="8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49" fontId="5" fillId="15" borderId="8" xfId="0" applyNumberFormat="1" applyFont="1" applyFill="1" applyBorder="1" applyAlignment="1">
      <alignment horizontal="center" vertical="center"/>
    </xf>
    <xf numFmtId="15" fontId="5" fillId="15" borderId="8" xfId="0" applyNumberFormat="1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2" fontId="5" fillId="15" borderId="8" xfId="3" applyNumberFormat="1" applyFont="1" applyFill="1" applyBorder="1" applyAlignment="1">
      <alignment horizontal="center" vertical="center"/>
    </xf>
    <xf numFmtId="2" fontId="5" fillId="15" borderId="8" xfId="0" applyNumberFormat="1" applyFont="1" applyFill="1" applyBorder="1" applyAlignment="1">
      <alignment horizontal="center" vertical="center"/>
    </xf>
    <xf numFmtId="1" fontId="5" fillId="12" borderId="9" xfId="1" applyNumberFormat="1" applyFont="1" applyFill="1" applyBorder="1" applyAlignment="1">
      <alignment horizontal="center" vertical="center"/>
    </xf>
    <xf numFmtId="9" fontId="5" fillId="12" borderId="8" xfId="1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15" fontId="19" fillId="12" borderId="4" xfId="0" applyNumberFormat="1" applyFont="1" applyFill="1" applyBorder="1" applyAlignment="1">
      <alignment horizontal="center" vertical="center"/>
    </xf>
    <xf numFmtId="18" fontId="35" fillId="15" borderId="1" xfId="0" applyNumberFormat="1" applyFont="1" applyFill="1" applyBorder="1" applyAlignment="1">
      <alignment horizontal="center" vertical="center"/>
    </xf>
    <xf numFmtId="9" fontId="35" fillId="15" borderId="1" xfId="1" applyFont="1" applyFill="1" applyBorder="1" applyAlignment="1">
      <alignment horizontal="center" vertical="center"/>
    </xf>
    <xf numFmtId="15" fontId="35" fillId="15" borderId="1" xfId="1" applyNumberFormat="1" applyFont="1" applyFill="1" applyBorder="1" applyAlignment="1">
      <alignment horizontal="center" vertical="center"/>
    </xf>
    <xf numFmtId="9" fontId="5" fillId="15" borderId="1" xfId="1" applyFont="1" applyFill="1" applyBorder="1" applyAlignment="1">
      <alignment horizontal="center" vertical="center"/>
    </xf>
    <xf numFmtId="2" fontId="35" fillId="15" borderId="1" xfId="1" applyNumberFormat="1" applyFont="1" applyFill="1" applyBorder="1" applyAlignment="1">
      <alignment horizontal="center" vertical="center"/>
    </xf>
    <xf numFmtId="1" fontId="5" fillId="15" borderId="1" xfId="1" applyNumberFormat="1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2" fontId="19" fillId="1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18" fillId="0" borderId="0" xfId="3" applyNumberFormat="1" applyFont="1" applyAlignment="1">
      <alignment horizontal="center" vertical="center"/>
    </xf>
    <xf numFmtId="2" fontId="1" fillId="0" borderId="0" xfId="3" applyNumberFormat="1" applyFont="1" applyAlignment="1">
      <alignment horizontal="center" vertical="center"/>
    </xf>
    <xf numFmtId="169" fontId="38" fillId="10" borderId="1" xfId="3" applyNumberFormat="1" applyFont="1" applyFill="1" applyBorder="1" applyAlignment="1" applyProtection="1">
      <alignment horizontal="center" vertical="center" shrinkToFit="1"/>
      <protection hidden="1"/>
    </xf>
    <xf numFmtId="169" fontId="35" fillId="15" borderId="1" xfId="0" applyNumberFormat="1" applyFont="1" applyFill="1" applyBorder="1" applyAlignment="1">
      <alignment horizontal="center" vertical="center"/>
    </xf>
    <xf numFmtId="169" fontId="34" fillId="0" borderId="0" xfId="0" applyNumberFormat="1" applyFont="1" applyAlignment="1">
      <alignment horizontal="center" vertical="center"/>
    </xf>
    <xf numFmtId="0" fontId="38" fillId="0" borderId="0" xfId="2" applyFont="1" applyAlignment="1" applyProtection="1">
      <alignment horizontal="center" vertical="center"/>
      <protection hidden="1"/>
    </xf>
    <xf numFmtId="1" fontId="32" fillId="0" borderId="0" xfId="0" applyNumberFormat="1" applyFont="1" applyAlignment="1">
      <alignment horizontal="center" vertical="center"/>
    </xf>
    <xf numFmtId="172" fontId="23" fillId="0" borderId="0" xfId="0" applyNumberFormat="1" applyFont="1" applyAlignment="1">
      <alignment horizontal="center"/>
    </xf>
    <xf numFmtId="173" fontId="5" fillId="15" borderId="8" xfId="0" applyNumberFormat="1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49" fontId="24" fillId="15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5" fillId="15" borderId="1" xfId="0" applyNumberFormat="1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9" fontId="23" fillId="0" borderId="0" xfId="0" applyNumberFormat="1" applyFont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49" fontId="5" fillId="15" borderId="1" xfId="1" applyNumberFormat="1" applyFont="1" applyFill="1" applyBorder="1" applyAlignment="1">
      <alignment horizontal="center" vertical="center"/>
    </xf>
    <xf numFmtId="15" fontId="5" fillId="15" borderId="1" xfId="1" applyNumberFormat="1" applyFont="1" applyFill="1" applyBorder="1" applyAlignment="1">
      <alignment horizontal="center" vertical="center"/>
    </xf>
    <xf numFmtId="2" fontId="5" fillId="15" borderId="1" xfId="1" applyNumberFormat="1" applyFont="1" applyFill="1" applyBorder="1" applyAlignment="1">
      <alignment horizontal="center" vertical="center"/>
    </xf>
    <xf numFmtId="2" fontId="5" fillId="15" borderId="7" xfId="1" applyNumberFormat="1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18" fontId="5" fillId="15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7" fillId="10" borderId="1" xfId="0" applyFont="1" applyFill="1" applyBorder="1" applyAlignment="1" applyProtection="1">
      <alignment horizontal="center" vertical="center" wrapText="1"/>
      <protection hidden="1"/>
    </xf>
    <xf numFmtId="0" fontId="42" fillId="18" borderId="8" xfId="0" applyFont="1" applyFill="1" applyBorder="1" applyAlignment="1" applyProtection="1">
      <alignment horizontal="center" vertical="center"/>
      <protection hidden="1"/>
    </xf>
    <xf numFmtId="0" fontId="31" fillId="14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 applyProtection="1">
      <alignment horizontal="center" vertical="center"/>
      <protection hidden="1"/>
    </xf>
    <xf numFmtId="165" fontId="38" fillId="0" borderId="1" xfId="3" applyNumberFormat="1" applyFont="1" applyBorder="1" applyAlignment="1" applyProtection="1">
      <alignment horizontal="center" vertical="center" shrinkToFit="1"/>
      <protection hidden="1"/>
    </xf>
    <xf numFmtId="165" fontId="38" fillId="0" borderId="0" xfId="3" applyNumberFormat="1" applyFont="1" applyAlignment="1" applyProtection="1">
      <alignment horizontal="center" vertical="center" shrinkToFit="1"/>
      <protection hidden="1"/>
    </xf>
    <xf numFmtId="166" fontId="37" fillId="11" borderId="1" xfId="0" applyNumberFormat="1" applyFont="1" applyFill="1" applyBorder="1" applyAlignment="1" applyProtection="1">
      <alignment horizontal="center" vertical="center"/>
      <protection hidden="1"/>
    </xf>
    <xf numFmtId="167" fontId="17" fillId="0" borderId="8" xfId="0" applyNumberFormat="1" applyFont="1" applyBorder="1" applyAlignment="1" applyProtection="1">
      <alignment horizontal="center"/>
      <protection hidden="1"/>
    </xf>
    <xf numFmtId="168" fontId="42" fillId="18" borderId="8" xfId="3" applyNumberFormat="1" applyFont="1" applyFill="1" applyBorder="1" applyAlignment="1" applyProtection="1">
      <alignment horizontal="center" vertical="center"/>
      <protection hidden="1"/>
    </xf>
    <xf numFmtId="167" fontId="30" fillId="10" borderId="8" xfId="0" applyNumberFormat="1" applyFont="1" applyFill="1" applyBorder="1" applyAlignment="1" applyProtection="1">
      <alignment horizontal="center" vertical="center" wrapText="1"/>
      <protection hidden="1"/>
    </xf>
    <xf numFmtId="165" fontId="37" fillId="0" borderId="0" xfId="0" applyNumberFormat="1" applyFont="1" applyAlignment="1" applyProtection="1">
      <alignment horizontal="center" vertical="center"/>
      <protection hidden="1"/>
    </xf>
    <xf numFmtId="164" fontId="38" fillId="0" borderId="1" xfId="3" applyNumberFormat="1" applyFont="1" applyBorder="1" applyAlignment="1" applyProtection="1">
      <alignment horizontal="center" vertical="center" shrinkToFit="1"/>
      <protection hidden="1"/>
    </xf>
    <xf numFmtId="166" fontId="27" fillId="11" borderId="1" xfId="0" applyNumberFormat="1" applyFont="1" applyFill="1" applyBorder="1" applyAlignment="1" applyProtection="1">
      <alignment horizontal="center" vertical="center"/>
      <protection hidden="1"/>
    </xf>
    <xf numFmtId="167" fontId="28" fillId="0" borderId="1" xfId="0" applyNumberFormat="1" applyFont="1" applyBorder="1" applyAlignment="1" applyProtection="1">
      <alignment horizontal="center"/>
      <protection hidden="1"/>
    </xf>
    <xf numFmtId="167" fontId="27" fillId="10" borderId="1" xfId="0" applyNumberFormat="1" applyFont="1" applyFill="1" applyBorder="1" applyAlignment="1" applyProtection="1">
      <alignment horizontal="center" vertical="center"/>
      <protection hidden="1"/>
    </xf>
    <xf numFmtId="170" fontId="27" fillId="13" borderId="0" xfId="3" applyNumberFormat="1" applyFont="1" applyFill="1" applyAlignment="1" applyProtection="1">
      <alignment horizontal="center"/>
      <protection hidden="1"/>
    </xf>
    <xf numFmtId="167" fontId="15" fillId="0" borderId="1" xfId="0" applyNumberFormat="1" applyFont="1" applyBorder="1" applyAlignment="1" applyProtection="1">
      <alignment horizontal="center"/>
      <protection hidden="1"/>
    </xf>
    <xf numFmtId="170" fontId="31" fillId="14" borderId="1" xfId="0" applyNumberFormat="1" applyFont="1" applyFill="1" applyBorder="1" applyAlignment="1" applyProtection="1">
      <alignment horizontal="center" vertical="center"/>
      <protection hidden="1"/>
    </xf>
    <xf numFmtId="170" fontId="31" fillId="0" borderId="1" xfId="0" applyNumberFormat="1" applyFont="1" applyBorder="1" applyAlignment="1" applyProtection="1">
      <alignment horizontal="center" vertical="center"/>
      <protection hidden="1"/>
    </xf>
    <xf numFmtId="170" fontId="31" fillId="0" borderId="1" xfId="312" applyNumberFormat="1" applyFont="1" applyBorder="1" applyAlignment="1" applyProtection="1">
      <alignment horizontal="center" vertical="center"/>
      <protection hidden="1"/>
    </xf>
    <xf numFmtId="170" fontId="34" fillId="0" borderId="0" xfId="3" applyNumberFormat="1" applyAlignment="1">
      <alignment horizontal="center" vertical="center"/>
    </xf>
    <xf numFmtId="166" fontId="36" fillId="12" borderId="1" xfId="0" applyNumberFormat="1" applyFont="1" applyFill="1" applyBorder="1" applyAlignment="1">
      <alignment horizontal="center" vertical="center"/>
    </xf>
    <xf numFmtId="171" fontId="35" fillId="0" borderId="1" xfId="0" applyNumberFormat="1" applyFont="1" applyBorder="1" applyAlignment="1">
      <alignment horizontal="center" vertical="center"/>
    </xf>
    <xf numFmtId="171" fontId="35" fillId="0" borderId="0" xfId="0" applyNumberFormat="1" applyFont="1" applyAlignment="1">
      <alignment horizontal="center" vertical="center"/>
    </xf>
    <xf numFmtId="170" fontId="35" fillId="15" borderId="1" xfId="3" applyNumberFormat="1" applyFont="1" applyFill="1" applyBorder="1" applyAlignment="1">
      <alignment horizontal="center" vertical="center"/>
    </xf>
    <xf numFmtId="166" fontId="26" fillId="12" borderId="1" xfId="0" applyNumberFormat="1" applyFont="1" applyFill="1" applyBorder="1" applyAlignment="1">
      <alignment horizontal="center" vertical="center"/>
    </xf>
    <xf numFmtId="171" fontId="24" fillId="0" borderId="1" xfId="0" applyNumberFormat="1" applyFont="1" applyBorder="1" applyAlignment="1">
      <alignment horizontal="center" vertical="center"/>
    </xf>
    <xf numFmtId="171" fontId="24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0" fillId="12" borderId="1" xfId="0" applyNumberFormat="1" applyFont="1" applyFill="1" applyBorder="1" applyAlignment="1">
      <alignment horizontal="center" vertical="center"/>
    </xf>
    <xf numFmtId="171" fontId="19" fillId="0" borderId="1" xfId="0" applyNumberFormat="1" applyFont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171" fontId="11" fillId="0" borderId="0" xfId="0" applyNumberFormat="1" applyFont="1" applyAlignment="1">
      <alignment horizontal="center"/>
    </xf>
    <xf numFmtId="166" fontId="13" fillId="12" borderId="1" xfId="0" applyNumberFormat="1" applyFont="1" applyFill="1" applyBorder="1" applyAlignment="1">
      <alignment horizontal="center" vertical="center"/>
    </xf>
    <xf numFmtId="171" fontId="12" fillId="0" borderId="1" xfId="0" applyNumberFormat="1" applyFont="1" applyBorder="1" applyAlignment="1">
      <alignment horizontal="center" vertical="center"/>
    </xf>
    <xf numFmtId="171" fontId="12" fillId="0" borderId="0" xfId="0" applyNumberFormat="1" applyFont="1" applyAlignment="1">
      <alignment horizontal="center" vertical="center"/>
    </xf>
    <xf numFmtId="0" fontId="37" fillId="11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38" fillId="10" borderId="1" xfId="0" applyFont="1" applyFill="1" applyBorder="1" applyAlignment="1" applyProtection="1">
      <alignment horizontal="center" vertical="center" shrinkToFit="1"/>
      <protection hidden="1"/>
    </xf>
    <xf numFmtId="0" fontId="0" fillId="0" borderId="9" xfId="0" applyBorder="1" applyProtection="1">
      <protection hidden="1"/>
    </xf>
    <xf numFmtId="174" fontId="42" fillId="18" borderId="1" xfId="0" applyNumberFormat="1" applyFont="1" applyFill="1" applyBorder="1" applyAlignment="1" applyProtection="1">
      <alignment horizontal="center" vertical="center"/>
      <protection hidden="1"/>
    </xf>
    <xf numFmtId="0" fontId="37" fillId="10" borderId="1" xfId="0" applyFont="1" applyFill="1" applyBorder="1" applyAlignment="1" applyProtection="1">
      <alignment horizontal="center" vertical="center" wrapText="1"/>
      <protection hidden="1"/>
    </xf>
    <xf numFmtId="0" fontId="40" fillId="0" borderId="1" xfId="0" applyFont="1" applyBorder="1" applyAlignment="1" applyProtection="1">
      <alignment horizontal="center"/>
      <protection hidden="1"/>
    </xf>
    <xf numFmtId="0" fontId="0" fillId="0" borderId="12" xfId="0" applyBorder="1" applyProtection="1">
      <protection hidden="1"/>
    </xf>
    <xf numFmtId="0" fontId="42" fillId="18" borderId="8" xfId="0" applyFont="1" applyFill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37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Protection="1">
      <protection hidden="1"/>
    </xf>
    <xf numFmtId="0" fontId="42" fillId="18" borderId="8" xfId="0" applyFont="1" applyFill="1" applyBorder="1" applyAlignment="1" applyProtection="1">
      <alignment horizontal="center" vertical="center" wrapText="1"/>
      <protection hidden="1"/>
    </xf>
    <xf numFmtId="0" fontId="27" fillId="11" borderId="1" xfId="0" applyFont="1" applyFill="1" applyBorder="1" applyAlignment="1" applyProtection="1">
      <alignment horizontal="center" vertical="center"/>
      <protection hidden="1"/>
    </xf>
    <xf numFmtId="0" fontId="27" fillId="11" borderId="1" xfId="0" applyFont="1" applyFill="1" applyBorder="1" applyAlignment="1" applyProtection="1">
      <alignment horizontal="center" vertical="center" wrapText="1"/>
      <protection hidden="1"/>
    </xf>
    <xf numFmtId="0" fontId="31" fillId="14" borderId="1" xfId="0" applyFont="1" applyFill="1" applyBorder="1" applyAlignment="1">
      <alignment horizontal="center" vertical="center"/>
    </xf>
    <xf numFmtId="0" fontId="0" fillId="0" borderId="9" xfId="0" applyBorder="1"/>
    <xf numFmtId="0" fontId="32" fillId="14" borderId="1" xfId="0" applyFont="1" applyFill="1" applyBorder="1" applyAlignment="1" applyProtection="1">
      <alignment horizontal="center" vertical="center" shrinkToFit="1"/>
      <protection hidden="1"/>
    </xf>
    <xf numFmtId="0" fontId="29" fillId="10" borderId="1" xfId="0" applyFont="1" applyFill="1" applyBorder="1" applyAlignment="1" applyProtection="1">
      <alignment horizontal="center" vertical="center" shrinkToFit="1"/>
      <protection hidden="1"/>
    </xf>
    <xf numFmtId="49" fontId="31" fillId="14" borderId="1" xfId="0" applyNumberFormat="1" applyFont="1" applyFill="1" applyBorder="1" applyAlignment="1" applyProtection="1">
      <alignment horizontal="center" vertical="center" wrapText="1"/>
      <protection hidden="1"/>
    </xf>
  </cellXfs>
  <cellStyles count="955">
    <cellStyle name="60% - Accent1 2" xfId="240"/>
    <cellStyle name="60% - Accent1 3" xfId="254"/>
    <cellStyle name="60% - Accent1 4" xfId="276"/>
    <cellStyle name="60% - Accent2 2" xfId="241"/>
    <cellStyle name="60% - Accent2 3" xfId="255"/>
    <cellStyle name="60% - Accent2 4" xfId="277"/>
    <cellStyle name="60% - Accent3 2" xfId="242"/>
    <cellStyle name="60% - Accent3 3" xfId="256"/>
    <cellStyle name="60% - Accent3 4" xfId="278"/>
    <cellStyle name="60% - Accent4 2" xfId="243"/>
    <cellStyle name="60% - Accent4 3" xfId="257"/>
    <cellStyle name="60% - Accent4 4" xfId="279"/>
    <cellStyle name="60% - Accent5 2" xfId="244"/>
    <cellStyle name="60% - Accent5 3" xfId="258"/>
    <cellStyle name="60% - Accent5 4" xfId="280"/>
    <cellStyle name="60% - Accent6 2" xfId="245"/>
    <cellStyle name="60% - Accent6 3" xfId="259"/>
    <cellStyle name="60% - Accent6 4" xfId="281"/>
    <cellStyle name="Comma" xfId="3" builtinId="3"/>
    <cellStyle name="Comma 2" xfId="232"/>
    <cellStyle name="Comma 2 10" xfId="313"/>
    <cellStyle name="Comma 2 10 2" xfId="660"/>
    <cellStyle name="Comma 2 11" xfId="610"/>
    <cellStyle name="Comma 2 2" xfId="236"/>
    <cellStyle name="Comma 2 2 2" xfId="250"/>
    <cellStyle name="Comma 2 2 2 2" xfId="270"/>
    <cellStyle name="Comma 2 2 2 2 2" xfId="307"/>
    <cellStyle name="Comma 2 2 2 2 2 2" xfId="407"/>
    <cellStyle name="Comma 2 2 2 2 2 2 2" xfId="603"/>
    <cellStyle name="Comma 2 2 2 2 2 2 2 2" xfId="950"/>
    <cellStyle name="Comma 2 2 2 2 2 2 3" xfId="505"/>
    <cellStyle name="Comma 2 2 2 2 2 2 3 2" xfId="852"/>
    <cellStyle name="Comma 2 2 2 2 2 2 4" xfId="754"/>
    <cellStyle name="Comma 2 2 2 2 2 3" xfId="554"/>
    <cellStyle name="Comma 2 2 2 2 2 3 2" xfId="901"/>
    <cellStyle name="Comma 2 2 2 2 2 4" xfId="456"/>
    <cellStyle name="Comma 2 2 2 2 2 4 2" xfId="803"/>
    <cellStyle name="Comma 2 2 2 2 2 5" xfId="358"/>
    <cellStyle name="Comma 2 2 2 2 2 5 2" xfId="705"/>
    <cellStyle name="Comma 2 2 2 2 2 6" xfId="655"/>
    <cellStyle name="Comma 2 2 2 2 3" xfId="382"/>
    <cellStyle name="Comma 2 2 2 2 3 2" xfId="578"/>
    <cellStyle name="Comma 2 2 2 2 3 2 2" xfId="925"/>
    <cellStyle name="Comma 2 2 2 2 3 3" xfId="480"/>
    <cellStyle name="Comma 2 2 2 2 3 3 2" xfId="827"/>
    <cellStyle name="Comma 2 2 2 2 3 4" xfId="729"/>
    <cellStyle name="Comma 2 2 2 2 4" xfId="529"/>
    <cellStyle name="Comma 2 2 2 2 4 2" xfId="876"/>
    <cellStyle name="Comma 2 2 2 2 5" xfId="431"/>
    <cellStyle name="Comma 2 2 2 2 5 2" xfId="778"/>
    <cellStyle name="Comma 2 2 2 2 6" xfId="333"/>
    <cellStyle name="Comma 2 2 2 2 6 2" xfId="680"/>
    <cellStyle name="Comma 2 2 2 2 7" xfId="630"/>
    <cellStyle name="Comma 2 2 2 3" xfId="295"/>
    <cellStyle name="Comma 2 2 2 3 2" xfId="395"/>
    <cellStyle name="Comma 2 2 2 3 2 2" xfId="591"/>
    <cellStyle name="Comma 2 2 2 3 2 2 2" xfId="938"/>
    <cellStyle name="Comma 2 2 2 3 2 3" xfId="493"/>
    <cellStyle name="Comma 2 2 2 3 2 3 2" xfId="840"/>
    <cellStyle name="Comma 2 2 2 3 2 4" xfId="742"/>
    <cellStyle name="Comma 2 2 2 3 3" xfId="542"/>
    <cellStyle name="Comma 2 2 2 3 3 2" xfId="889"/>
    <cellStyle name="Comma 2 2 2 3 4" xfId="444"/>
    <cellStyle name="Comma 2 2 2 3 4 2" xfId="791"/>
    <cellStyle name="Comma 2 2 2 3 5" xfId="346"/>
    <cellStyle name="Comma 2 2 2 3 5 2" xfId="693"/>
    <cellStyle name="Comma 2 2 2 3 6" xfId="643"/>
    <cellStyle name="Comma 2 2 2 4" xfId="370"/>
    <cellStyle name="Comma 2 2 2 4 2" xfId="566"/>
    <cellStyle name="Comma 2 2 2 4 2 2" xfId="913"/>
    <cellStyle name="Comma 2 2 2 4 3" xfId="468"/>
    <cellStyle name="Comma 2 2 2 4 3 2" xfId="815"/>
    <cellStyle name="Comma 2 2 2 4 4" xfId="717"/>
    <cellStyle name="Comma 2 2 2 5" xfId="517"/>
    <cellStyle name="Comma 2 2 2 5 2" xfId="864"/>
    <cellStyle name="Comma 2 2 2 6" xfId="419"/>
    <cellStyle name="Comma 2 2 2 6 2" xfId="766"/>
    <cellStyle name="Comma 2 2 2 7" xfId="321"/>
    <cellStyle name="Comma 2 2 2 7 2" xfId="668"/>
    <cellStyle name="Comma 2 2 2 8" xfId="618"/>
    <cellStyle name="Comma 2 2 3" xfId="264"/>
    <cellStyle name="Comma 2 2 3 2" xfId="301"/>
    <cellStyle name="Comma 2 2 3 2 2" xfId="401"/>
    <cellStyle name="Comma 2 2 3 2 2 2" xfId="597"/>
    <cellStyle name="Comma 2 2 3 2 2 2 2" xfId="944"/>
    <cellStyle name="Comma 2 2 3 2 2 3" xfId="499"/>
    <cellStyle name="Comma 2 2 3 2 2 3 2" xfId="846"/>
    <cellStyle name="Comma 2 2 3 2 2 4" xfId="748"/>
    <cellStyle name="Comma 2 2 3 2 3" xfId="548"/>
    <cellStyle name="Comma 2 2 3 2 3 2" xfId="895"/>
    <cellStyle name="Comma 2 2 3 2 4" xfId="450"/>
    <cellStyle name="Comma 2 2 3 2 4 2" xfId="797"/>
    <cellStyle name="Comma 2 2 3 2 5" xfId="352"/>
    <cellStyle name="Comma 2 2 3 2 5 2" xfId="699"/>
    <cellStyle name="Comma 2 2 3 2 6" xfId="649"/>
    <cellStyle name="Comma 2 2 3 3" xfId="376"/>
    <cellStyle name="Comma 2 2 3 3 2" xfId="572"/>
    <cellStyle name="Comma 2 2 3 3 2 2" xfId="919"/>
    <cellStyle name="Comma 2 2 3 3 3" xfId="474"/>
    <cellStyle name="Comma 2 2 3 3 3 2" xfId="821"/>
    <cellStyle name="Comma 2 2 3 3 4" xfId="723"/>
    <cellStyle name="Comma 2 2 3 4" xfId="523"/>
    <cellStyle name="Comma 2 2 3 4 2" xfId="870"/>
    <cellStyle name="Comma 2 2 3 5" xfId="425"/>
    <cellStyle name="Comma 2 2 3 5 2" xfId="772"/>
    <cellStyle name="Comma 2 2 3 6" xfId="327"/>
    <cellStyle name="Comma 2 2 3 6 2" xfId="674"/>
    <cellStyle name="Comma 2 2 3 7" xfId="624"/>
    <cellStyle name="Comma 2 2 4" xfId="289"/>
    <cellStyle name="Comma 2 2 4 2" xfId="389"/>
    <cellStyle name="Comma 2 2 4 2 2" xfId="585"/>
    <cellStyle name="Comma 2 2 4 2 2 2" xfId="932"/>
    <cellStyle name="Comma 2 2 4 2 3" xfId="487"/>
    <cellStyle name="Comma 2 2 4 2 3 2" xfId="834"/>
    <cellStyle name="Comma 2 2 4 2 4" xfId="736"/>
    <cellStyle name="Comma 2 2 4 3" xfId="536"/>
    <cellStyle name="Comma 2 2 4 3 2" xfId="883"/>
    <cellStyle name="Comma 2 2 4 4" xfId="438"/>
    <cellStyle name="Comma 2 2 4 4 2" xfId="785"/>
    <cellStyle name="Comma 2 2 4 5" xfId="340"/>
    <cellStyle name="Comma 2 2 4 5 2" xfId="687"/>
    <cellStyle name="Comma 2 2 4 6" xfId="637"/>
    <cellStyle name="Comma 2 2 5" xfId="364"/>
    <cellStyle name="Comma 2 2 5 2" xfId="560"/>
    <cellStyle name="Comma 2 2 5 2 2" xfId="907"/>
    <cellStyle name="Comma 2 2 5 3" xfId="462"/>
    <cellStyle name="Comma 2 2 5 3 2" xfId="809"/>
    <cellStyle name="Comma 2 2 5 4" xfId="711"/>
    <cellStyle name="Comma 2 2 6" xfId="511"/>
    <cellStyle name="Comma 2 2 6 2" xfId="858"/>
    <cellStyle name="Comma 2 2 7" xfId="413"/>
    <cellStyle name="Comma 2 2 7 2" xfId="760"/>
    <cellStyle name="Comma 2 2 8" xfId="315"/>
    <cellStyle name="Comma 2 2 8 2" xfId="662"/>
    <cellStyle name="Comma 2 2 9" xfId="612"/>
    <cellStyle name="Comma 2 3" xfId="247"/>
    <cellStyle name="Comma 2 3 2" xfId="253"/>
    <cellStyle name="Comma 2 3 2 2" xfId="273"/>
    <cellStyle name="Comma 2 3 2 2 2" xfId="310"/>
    <cellStyle name="Comma 2 3 2 2 2 2" xfId="410"/>
    <cellStyle name="Comma 2 3 2 2 2 2 2" xfId="606"/>
    <cellStyle name="Comma 2 3 2 2 2 2 2 2" xfId="953"/>
    <cellStyle name="Comma 2 3 2 2 2 2 3" xfId="508"/>
    <cellStyle name="Comma 2 3 2 2 2 2 3 2" xfId="855"/>
    <cellStyle name="Comma 2 3 2 2 2 2 4" xfId="757"/>
    <cellStyle name="Comma 2 3 2 2 2 3" xfId="557"/>
    <cellStyle name="Comma 2 3 2 2 2 3 2" xfId="904"/>
    <cellStyle name="Comma 2 3 2 2 2 4" xfId="459"/>
    <cellStyle name="Comma 2 3 2 2 2 4 2" xfId="806"/>
    <cellStyle name="Comma 2 3 2 2 2 5" xfId="361"/>
    <cellStyle name="Comma 2 3 2 2 2 5 2" xfId="708"/>
    <cellStyle name="Comma 2 3 2 2 2 6" xfId="658"/>
    <cellStyle name="Comma 2 3 2 2 3" xfId="385"/>
    <cellStyle name="Comma 2 3 2 2 3 2" xfId="581"/>
    <cellStyle name="Comma 2 3 2 2 3 2 2" xfId="928"/>
    <cellStyle name="Comma 2 3 2 2 3 3" xfId="483"/>
    <cellStyle name="Comma 2 3 2 2 3 3 2" xfId="830"/>
    <cellStyle name="Comma 2 3 2 2 3 4" xfId="732"/>
    <cellStyle name="Comma 2 3 2 2 4" xfId="532"/>
    <cellStyle name="Comma 2 3 2 2 4 2" xfId="879"/>
    <cellStyle name="Comma 2 3 2 2 5" xfId="434"/>
    <cellStyle name="Comma 2 3 2 2 5 2" xfId="781"/>
    <cellStyle name="Comma 2 3 2 2 6" xfId="336"/>
    <cellStyle name="Comma 2 3 2 2 6 2" xfId="683"/>
    <cellStyle name="Comma 2 3 2 2 7" xfId="633"/>
    <cellStyle name="Comma 2 3 2 3" xfId="298"/>
    <cellStyle name="Comma 2 3 2 3 2" xfId="398"/>
    <cellStyle name="Comma 2 3 2 3 2 2" xfId="594"/>
    <cellStyle name="Comma 2 3 2 3 2 2 2" xfId="941"/>
    <cellStyle name="Comma 2 3 2 3 2 3" xfId="496"/>
    <cellStyle name="Comma 2 3 2 3 2 3 2" xfId="843"/>
    <cellStyle name="Comma 2 3 2 3 2 4" xfId="745"/>
    <cellStyle name="Comma 2 3 2 3 3" xfId="545"/>
    <cellStyle name="Comma 2 3 2 3 3 2" xfId="892"/>
    <cellStyle name="Comma 2 3 2 3 4" xfId="447"/>
    <cellStyle name="Comma 2 3 2 3 4 2" xfId="794"/>
    <cellStyle name="Comma 2 3 2 3 5" xfId="349"/>
    <cellStyle name="Comma 2 3 2 3 5 2" xfId="696"/>
    <cellStyle name="Comma 2 3 2 3 6" xfId="646"/>
    <cellStyle name="Comma 2 3 2 4" xfId="373"/>
    <cellStyle name="Comma 2 3 2 4 2" xfId="569"/>
    <cellStyle name="Comma 2 3 2 4 2 2" xfId="916"/>
    <cellStyle name="Comma 2 3 2 4 3" xfId="471"/>
    <cellStyle name="Comma 2 3 2 4 3 2" xfId="818"/>
    <cellStyle name="Comma 2 3 2 4 4" xfId="720"/>
    <cellStyle name="Comma 2 3 2 5" xfId="520"/>
    <cellStyle name="Comma 2 3 2 5 2" xfId="867"/>
    <cellStyle name="Comma 2 3 2 6" xfId="422"/>
    <cellStyle name="Comma 2 3 2 6 2" xfId="769"/>
    <cellStyle name="Comma 2 3 2 7" xfId="324"/>
    <cellStyle name="Comma 2 3 2 7 2" xfId="671"/>
    <cellStyle name="Comma 2 3 2 8" xfId="621"/>
    <cellStyle name="Comma 2 3 3" xfId="267"/>
    <cellStyle name="Comma 2 3 3 2" xfId="304"/>
    <cellStyle name="Comma 2 3 3 2 2" xfId="404"/>
    <cellStyle name="Comma 2 3 3 2 2 2" xfId="600"/>
    <cellStyle name="Comma 2 3 3 2 2 2 2" xfId="947"/>
    <cellStyle name="Comma 2 3 3 2 2 3" xfId="502"/>
    <cellStyle name="Comma 2 3 3 2 2 3 2" xfId="849"/>
    <cellStyle name="Comma 2 3 3 2 2 4" xfId="751"/>
    <cellStyle name="Comma 2 3 3 2 3" xfId="551"/>
    <cellStyle name="Comma 2 3 3 2 3 2" xfId="898"/>
    <cellStyle name="Comma 2 3 3 2 4" xfId="453"/>
    <cellStyle name="Comma 2 3 3 2 4 2" xfId="800"/>
    <cellStyle name="Comma 2 3 3 2 5" xfId="355"/>
    <cellStyle name="Comma 2 3 3 2 5 2" xfId="702"/>
    <cellStyle name="Comma 2 3 3 2 6" xfId="652"/>
    <cellStyle name="Comma 2 3 3 3" xfId="379"/>
    <cellStyle name="Comma 2 3 3 3 2" xfId="575"/>
    <cellStyle name="Comma 2 3 3 3 2 2" xfId="922"/>
    <cellStyle name="Comma 2 3 3 3 3" xfId="477"/>
    <cellStyle name="Comma 2 3 3 3 3 2" xfId="824"/>
    <cellStyle name="Comma 2 3 3 3 4" xfId="726"/>
    <cellStyle name="Comma 2 3 3 4" xfId="526"/>
    <cellStyle name="Comma 2 3 3 4 2" xfId="873"/>
    <cellStyle name="Comma 2 3 3 5" xfId="428"/>
    <cellStyle name="Comma 2 3 3 5 2" xfId="775"/>
    <cellStyle name="Comma 2 3 3 6" xfId="330"/>
    <cellStyle name="Comma 2 3 3 6 2" xfId="677"/>
    <cellStyle name="Comma 2 3 3 7" xfId="627"/>
    <cellStyle name="Comma 2 3 4" xfId="292"/>
    <cellStyle name="Comma 2 3 4 2" xfId="392"/>
    <cellStyle name="Comma 2 3 4 2 2" xfId="588"/>
    <cellStyle name="Comma 2 3 4 2 2 2" xfId="935"/>
    <cellStyle name="Comma 2 3 4 2 3" xfId="490"/>
    <cellStyle name="Comma 2 3 4 2 3 2" xfId="837"/>
    <cellStyle name="Comma 2 3 4 2 4" xfId="739"/>
    <cellStyle name="Comma 2 3 4 3" xfId="539"/>
    <cellStyle name="Comma 2 3 4 3 2" xfId="886"/>
    <cellStyle name="Comma 2 3 4 4" xfId="441"/>
    <cellStyle name="Comma 2 3 4 4 2" xfId="788"/>
    <cellStyle name="Comma 2 3 4 5" xfId="343"/>
    <cellStyle name="Comma 2 3 4 5 2" xfId="690"/>
    <cellStyle name="Comma 2 3 4 6" xfId="640"/>
    <cellStyle name="Comma 2 3 5" xfId="367"/>
    <cellStyle name="Comma 2 3 5 2" xfId="563"/>
    <cellStyle name="Comma 2 3 5 2 2" xfId="910"/>
    <cellStyle name="Comma 2 3 5 3" xfId="465"/>
    <cellStyle name="Comma 2 3 5 3 2" xfId="812"/>
    <cellStyle name="Comma 2 3 5 4" xfId="714"/>
    <cellStyle name="Comma 2 3 6" xfId="514"/>
    <cellStyle name="Comma 2 3 6 2" xfId="861"/>
    <cellStyle name="Comma 2 3 7" xfId="416"/>
    <cellStyle name="Comma 2 3 7 2" xfId="763"/>
    <cellStyle name="Comma 2 3 8" xfId="318"/>
    <cellStyle name="Comma 2 3 8 2" xfId="665"/>
    <cellStyle name="Comma 2 3 9" xfId="615"/>
    <cellStyle name="Comma 2 4" xfId="248"/>
    <cellStyle name="Comma 2 4 2" xfId="268"/>
    <cellStyle name="Comma 2 4 2 2" xfId="305"/>
    <cellStyle name="Comma 2 4 2 2 2" xfId="405"/>
    <cellStyle name="Comma 2 4 2 2 2 2" xfId="601"/>
    <cellStyle name="Comma 2 4 2 2 2 2 2" xfId="948"/>
    <cellStyle name="Comma 2 4 2 2 2 3" xfId="503"/>
    <cellStyle name="Comma 2 4 2 2 2 3 2" xfId="850"/>
    <cellStyle name="Comma 2 4 2 2 2 4" xfId="752"/>
    <cellStyle name="Comma 2 4 2 2 3" xfId="552"/>
    <cellStyle name="Comma 2 4 2 2 3 2" xfId="899"/>
    <cellStyle name="Comma 2 4 2 2 4" xfId="454"/>
    <cellStyle name="Comma 2 4 2 2 4 2" xfId="801"/>
    <cellStyle name="Comma 2 4 2 2 5" xfId="356"/>
    <cellStyle name="Comma 2 4 2 2 5 2" xfId="703"/>
    <cellStyle name="Comma 2 4 2 2 6" xfId="653"/>
    <cellStyle name="Comma 2 4 2 3" xfId="380"/>
    <cellStyle name="Comma 2 4 2 3 2" xfId="576"/>
    <cellStyle name="Comma 2 4 2 3 2 2" xfId="923"/>
    <cellStyle name="Comma 2 4 2 3 3" xfId="478"/>
    <cellStyle name="Comma 2 4 2 3 3 2" xfId="825"/>
    <cellStyle name="Comma 2 4 2 3 4" xfId="727"/>
    <cellStyle name="Comma 2 4 2 4" xfId="527"/>
    <cellStyle name="Comma 2 4 2 4 2" xfId="874"/>
    <cellStyle name="Comma 2 4 2 5" xfId="429"/>
    <cellStyle name="Comma 2 4 2 5 2" xfId="776"/>
    <cellStyle name="Comma 2 4 2 6" xfId="331"/>
    <cellStyle name="Comma 2 4 2 6 2" xfId="678"/>
    <cellStyle name="Comma 2 4 2 7" xfId="628"/>
    <cellStyle name="Comma 2 4 3" xfId="293"/>
    <cellStyle name="Comma 2 4 3 2" xfId="393"/>
    <cellStyle name="Comma 2 4 3 2 2" xfId="589"/>
    <cellStyle name="Comma 2 4 3 2 2 2" xfId="936"/>
    <cellStyle name="Comma 2 4 3 2 3" xfId="491"/>
    <cellStyle name="Comma 2 4 3 2 3 2" xfId="838"/>
    <cellStyle name="Comma 2 4 3 2 4" xfId="740"/>
    <cellStyle name="Comma 2 4 3 3" xfId="540"/>
    <cellStyle name="Comma 2 4 3 3 2" xfId="887"/>
    <cellStyle name="Comma 2 4 3 4" xfId="442"/>
    <cellStyle name="Comma 2 4 3 4 2" xfId="789"/>
    <cellStyle name="Comma 2 4 3 5" xfId="344"/>
    <cellStyle name="Comma 2 4 3 5 2" xfId="691"/>
    <cellStyle name="Comma 2 4 3 6" xfId="641"/>
    <cellStyle name="Comma 2 4 4" xfId="368"/>
    <cellStyle name="Comma 2 4 4 2" xfId="564"/>
    <cellStyle name="Comma 2 4 4 2 2" xfId="911"/>
    <cellStyle name="Comma 2 4 4 3" xfId="466"/>
    <cellStyle name="Comma 2 4 4 3 2" xfId="813"/>
    <cellStyle name="Comma 2 4 4 4" xfId="715"/>
    <cellStyle name="Comma 2 4 5" xfId="515"/>
    <cellStyle name="Comma 2 4 5 2" xfId="862"/>
    <cellStyle name="Comma 2 4 6" xfId="417"/>
    <cellStyle name="Comma 2 4 6 2" xfId="764"/>
    <cellStyle name="Comma 2 4 7" xfId="319"/>
    <cellStyle name="Comma 2 4 7 2" xfId="666"/>
    <cellStyle name="Comma 2 4 8" xfId="616"/>
    <cellStyle name="Comma 2 5" xfId="262"/>
    <cellStyle name="Comma 2 5 2" xfId="299"/>
    <cellStyle name="Comma 2 5 2 2" xfId="399"/>
    <cellStyle name="Comma 2 5 2 2 2" xfId="595"/>
    <cellStyle name="Comma 2 5 2 2 2 2" xfId="942"/>
    <cellStyle name="Comma 2 5 2 2 3" xfId="497"/>
    <cellStyle name="Comma 2 5 2 2 3 2" xfId="844"/>
    <cellStyle name="Comma 2 5 2 2 4" xfId="746"/>
    <cellStyle name="Comma 2 5 2 3" xfId="546"/>
    <cellStyle name="Comma 2 5 2 3 2" xfId="893"/>
    <cellStyle name="Comma 2 5 2 4" xfId="448"/>
    <cellStyle name="Comma 2 5 2 4 2" xfId="795"/>
    <cellStyle name="Comma 2 5 2 5" xfId="350"/>
    <cellStyle name="Comma 2 5 2 5 2" xfId="697"/>
    <cellStyle name="Comma 2 5 2 6" xfId="647"/>
    <cellStyle name="Comma 2 5 3" xfId="374"/>
    <cellStyle name="Comma 2 5 3 2" xfId="570"/>
    <cellStyle name="Comma 2 5 3 2 2" xfId="917"/>
    <cellStyle name="Comma 2 5 3 3" xfId="472"/>
    <cellStyle name="Comma 2 5 3 3 2" xfId="819"/>
    <cellStyle name="Comma 2 5 3 4" xfId="721"/>
    <cellStyle name="Comma 2 5 4" xfId="521"/>
    <cellStyle name="Comma 2 5 4 2" xfId="868"/>
    <cellStyle name="Comma 2 5 5" xfId="423"/>
    <cellStyle name="Comma 2 5 5 2" xfId="770"/>
    <cellStyle name="Comma 2 5 6" xfId="325"/>
    <cellStyle name="Comma 2 5 6 2" xfId="672"/>
    <cellStyle name="Comma 2 5 7" xfId="622"/>
    <cellStyle name="Comma 2 6" xfId="287"/>
    <cellStyle name="Comma 2 6 2" xfId="387"/>
    <cellStyle name="Comma 2 6 2 2" xfId="583"/>
    <cellStyle name="Comma 2 6 2 2 2" xfId="930"/>
    <cellStyle name="Comma 2 6 2 3" xfId="485"/>
    <cellStyle name="Comma 2 6 2 3 2" xfId="832"/>
    <cellStyle name="Comma 2 6 2 4" xfId="734"/>
    <cellStyle name="Comma 2 6 3" xfId="534"/>
    <cellStyle name="Comma 2 6 3 2" xfId="881"/>
    <cellStyle name="Comma 2 6 4" xfId="436"/>
    <cellStyle name="Comma 2 6 4 2" xfId="783"/>
    <cellStyle name="Comma 2 6 5" xfId="338"/>
    <cellStyle name="Comma 2 6 5 2" xfId="685"/>
    <cellStyle name="Comma 2 6 6" xfId="635"/>
    <cellStyle name="Comma 2 7" xfId="362"/>
    <cellStyle name="Comma 2 7 2" xfId="558"/>
    <cellStyle name="Comma 2 7 2 2" xfId="905"/>
    <cellStyle name="Comma 2 7 3" xfId="460"/>
    <cellStyle name="Comma 2 7 3 2" xfId="807"/>
    <cellStyle name="Comma 2 7 4" xfId="709"/>
    <cellStyle name="Comma 2 8" xfId="509"/>
    <cellStyle name="Comma 2 8 2" xfId="856"/>
    <cellStyle name="Comma 2 9" xfId="411"/>
    <cellStyle name="Comma 2 9 2" xfId="758"/>
    <cellStyle name="Comma 3" xfId="233"/>
    <cellStyle name="Comma 3 10" xfId="611"/>
    <cellStyle name="Comma 3 2" xfId="237"/>
    <cellStyle name="Comma 3 2 2" xfId="251"/>
    <cellStyle name="Comma 3 2 2 2" xfId="271"/>
    <cellStyle name="Comma 3 2 2 2 2" xfId="308"/>
    <cellStyle name="Comma 3 2 2 2 2 2" xfId="408"/>
    <cellStyle name="Comma 3 2 2 2 2 2 2" xfId="604"/>
    <cellStyle name="Comma 3 2 2 2 2 2 2 2" xfId="951"/>
    <cellStyle name="Comma 3 2 2 2 2 2 3" xfId="506"/>
    <cellStyle name="Comma 3 2 2 2 2 2 3 2" xfId="853"/>
    <cellStyle name="Comma 3 2 2 2 2 2 4" xfId="755"/>
    <cellStyle name="Comma 3 2 2 2 2 3" xfId="555"/>
    <cellStyle name="Comma 3 2 2 2 2 3 2" xfId="902"/>
    <cellStyle name="Comma 3 2 2 2 2 4" xfId="457"/>
    <cellStyle name="Comma 3 2 2 2 2 4 2" xfId="804"/>
    <cellStyle name="Comma 3 2 2 2 2 5" xfId="359"/>
    <cellStyle name="Comma 3 2 2 2 2 5 2" xfId="706"/>
    <cellStyle name="Comma 3 2 2 2 2 6" xfId="656"/>
    <cellStyle name="Comma 3 2 2 2 3" xfId="383"/>
    <cellStyle name="Comma 3 2 2 2 3 2" xfId="579"/>
    <cellStyle name="Comma 3 2 2 2 3 2 2" xfId="926"/>
    <cellStyle name="Comma 3 2 2 2 3 3" xfId="481"/>
    <cellStyle name="Comma 3 2 2 2 3 3 2" xfId="828"/>
    <cellStyle name="Comma 3 2 2 2 3 4" xfId="730"/>
    <cellStyle name="Comma 3 2 2 2 4" xfId="530"/>
    <cellStyle name="Comma 3 2 2 2 4 2" xfId="877"/>
    <cellStyle name="Comma 3 2 2 2 5" xfId="432"/>
    <cellStyle name="Comma 3 2 2 2 5 2" xfId="779"/>
    <cellStyle name="Comma 3 2 2 2 6" xfId="334"/>
    <cellStyle name="Comma 3 2 2 2 6 2" xfId="681"/>
    <cellStyle name="Comma 3 2 2 2 7" xfId="631"/>
    <cellStyle name="Comma 3 2 2 3" xfId="296"/>
    <cellStyle name="Comma 3 2 2 3 2" xfId="396"/>
    <cellStyle name="Comma 3 2 2 3 2 2" xfId="592"/>
    <cellStyle name="Comma 3 2 2 3 2 2 2" xfId="939"/>
    <cellStyle name="Comma 3 2 2 3 2 3" xfId="494"/>
    <cellStyle name="Comma 3 2 2 3 2 3 2" xfId="841"/>
    <cellStyle name="Comma 3 2 2 3 2 4" xfId="743"/>
    <cellStyle name="Comma 3 2 2 3 3" xfId="543"/>
    <cellStyle name="Comma 3 2 2 3 3 2" xfId="890"/>
    <cellStyle name="Comma 3 2 2 3 4" xfId="445"/>
    <cellStyle name="Comma 3 2 2 3 4 2" xfId="792"/>
    <cellStyle name="Comma 3 2 2 3 5" xfId="347"/>
    <cellStyle name="Comma 3 2 2 3 5 2" xfId="694"/>
    <cellStyle name="Comma 3 2 2 3 6" xfId="644"/>
    <cellStyle name="Comma 3 2 2 4" xfId="371"/>
    <cellStyle name="Comma 3 2 2 4 2" xfId="567"/>
    <cellStyle name="Comma 3 2 2 4 2 2" xfId="914"/>
    <cellStyle name="Comma 3 2 2 4 3" xfId="469"/>
    <cellStyle name="Comma 3 2 2 4 3 2" xfId="816"/>
    <cellStyle name="Comma 3 2 2 4 4" xfId="718"/>
    <cellStyle name="Comma 3 2 2 5" xfId="518"/>
    <cellStyle name="Comma 3 2 2 5 2" xfId="865"/>
    <cellStyle name="Comma 3 2 2 6" xfId="420"/>
    <cellStyle name="Comma 3 2 2 6 2" xfId="767"/>
    <cellStyle name="Comma 3 2 2 7" xfId="322"/>
    <cellStyle name="Comma 3 2 2 7 2" xfId="669"/>
    <cellStyle name="Comma 3 2 2 8" xfId="619"/>
    <cellStyle name="Comma 3 2 3" xfId="265"/>
    <cellStyle name="Comma 3 2 3 2" xfId="302"/>
    <cellStyle name="Comma 3 2 3 2 2" xfId="402"/>
    <cellStyle name="Comma 3 2 3 2 2 2" xfId="598"/>
    <cellStyle name="Comma 3 2 3 2 2 2 2" xfId="945"/>
    <cellStyle name="Comma 3 2 3 2 2 3" xfId="500"/>
    <cellStyle name="Comma 3 2 3 2 2 3 2" xfId="847"/>
    <cellStyle name="Comma 3 2 3 2 2 4" xfId="749"/>
    <cellStyle name="Comma 3 2 3 2 3" xfId="549"/>
    <cellStyle name="Comma 3 2 3 2 3 2" xfId="896"/>
    <cellStyle name="Comma 3 2 3 2 4" xfId="451"/>
    <cellStyle name="Comma 3 2 3 2 4 2" xfId="798"/>
    <cellStyle name="Comma 3 2 3 2 5" xfId="353"/>
    <cellStyle name="Comma 3 2 3 2 5 2" xfId="700"/>
    <cellStyle name="Comma 3 2 3 2 6" xfId="650"/>
    <cellStyle name="Comma 3 2 3 3" xfId="377"/>
    <cellStyle name="Comma 3 2 3 3 2" xfId="573"/>
    <cellStyle name="Comma 3 2 3 3 2 2" xfId="920"/>
    <cellStyle name="Comma 3 2 3 3 3" xfId="475"/>
    <cellStyle name="Comma 3 2 3 3 3 2" xfId="822"/>
    <cellStyle name="Comma 3 2 3 3 4" xfId="724"/>
    <cellStyle name="Comma 3 2 3 4" xfId="524"/>
    <cellStyle name="Comma 3 2 3 4 2" xfId="871"/>
    <cellStyle name="Comma 3 2 3 5" xfId="426"/>
    <cellStyle name="Comma 3 2 3 5 2" xfId="773"/>
    <cellStyle name="Comma 3 2 3 6" xfId="328"/>
    <cellStyle name="Comma 3 2 3 6 2" xfId="675"/>
    <cellStyle name="Comma 3 2 3 7" xfId="625"/>
    <cellStyle name="Comma 3 2 4" xfId="290"/>
    <cellStyle name="Comma 3 2 4 2" xfId="390"/>
    <cellStyle name="Comma 3 2 4 2 2" xfId="586"/>
    <cellStyle name="Comma 3 2 4 2 2 2" xfId="933"/>
    <cellStyle name="Comma 3 2 4 2 3" xfId="488"/>
    <cellStyle name="Comma 3 2 4 2 3 2" xfId="835"/>
    <cellStyle name="Comma 3 2 4 2 4" xfId="737"/>
    <cellStyle name="Comma 3 2 4 3" xfId="537"/>
    <cellStyle name="Comma 3 2 4 3 2" xfId="884"/>
    <cellStyle name="Comma 3 2 4 4" xfId="439"/>
    <cellStyle name="Comma 3 2 4 4 2" xfId="786"/>
    <cellStyle name="Comma 3 2 4 5" xfId="341"/>
    <cellStyle name="Comma 3 2 4 5 2" xfId="688"/>
    <cellStyle name="Comma 3 2 4 6" xfId="638"/>
    <cellStyle name="Comma 3 2 5" xfId="365"/>
    <cellStyle name="Comma 3 2 5 2" xfId="561"/>
    <cellStyle name="Comma 3 2 5 2 2" xfId="908"/>
    <cellStyle name="Comma 3 2 5 3" xfId="463"/>
    <cellStyle name="Comma 3 2 5 3 2" xfId="810"/>
    <cellStyle name="Comma 3 2 5 4" xfId="712"/>
    <cellStyle name="Comma 3 2 6" xfId="512"/>
    <cellStyle name="Comma 3 2 6 2" xfId="859"/>
    <cellStyle name="Comma 3 2 7" xfId="414"/>
    <cellStyle name="Comma 3 2 7 2" xfId="761"/>
    <cellStyle name="Comma 3 2 8" xfId="316"/>
    <cellStyle name="Comma 3 2 8 2" xfId="663"/>
    <cellStyle name="Comma 3 2 9" xfId="613"/>
    <cellStyle name="Comma 3 3" xfId="249"/>
    <cellStyle name="Comma 3 3 2" xfId="269"/>
    <cellStyle name="Comma 3 3 2 2" xfId="306"/>
    <cellStyle name="Comma 3 3 2 2 2" xfId="406"/>
    <cellStyle name="Comma 3 3 2 2 2 2" xfId="602"/>
    <cellStyle name="Comma 3 3 2 2 2 2 2" xfId="949"/>
    <cellStyle name="Comma 3 3 2 2 2 3" xfId="504"/>
    <cellStyle name="Comma 3 3 2 2 2 3 2" xfId="851"/>
    <cellStyle name="Comma 3 3 2 2 2 4" xfId="753"/>
    <cellStyle name="Comma 3 3 2 2 3" xfId="553"/>
    <cellStyle name="Comma 3 3 2 2 3 2" xfId="900"/>
    <cellStyle name="Comma 3 3 2 2 4" xfId="455"/>
    <cellStyle name="Comma 3 3 2 2 4 2" xfId="802"/>
    <cellStyle name="Comma 3 3 2 2 5" xfId="357"/>
    <cellStyle name="Comma 3 3 2 2 5 2" xfId="704"/>
    <cellStyle name="Comma 3 3 2 2 6" xfId="654"/>
    <cellStyle name="Comma 3 3 2 3" xfId="381"/>
    <cellStyle name="Comma 3 3 2 3 2" xfId="577"/>
    <cellStyle name="Comma 3 3 2 3 2 2" xfId="924"/>
    <cellStyle name="Comma 3 3 2 3 3" xfId="479"/>
    <cellStyle name="Comma 3 3 2 3 3 2" xfId="826"/>
    <cellStyle name="Comma 3 3 2 3 4" xfId="728"/>
    <cellStyle name="Comma 3 3 2 4" xfId="528"/>
    <cellStyle name="Comma 3 3 2 4 2" xfId="875"/>
    <cellStyle name="Comma 3 3 2 5" xfId="430"/>
    <cellStyle name="Comma 3 3 2 5 2" xfId="777"/>
    <cellStyle name="Comma 3 3 2 6" xfId="332"/>
    <cellStyle name="Comma 3 3 2 6 2" xfId="679"/>
    <cellStyle name="Comma 3 3 2 7" xfId="629"/>
    <cellStyle name="Comma 3 3 3" xfId="294"/>
    <cellStyle name="Comma 3 3 3 2" xfId="394"/>
    <cellStyle name="Comma 3 3 3 2 2" xfId="590"/>
    <cellStyle name="Comma 3 3 3 2 2 2" xfId="937"/>
    <cellStyle name="Comma 3 3 3 2 3" xfId="492"/>
    <cellStyle name="Comma 3 3 3 2 3 2" xfId="839"/>
    <cellStyle name="Comma 3 3 3 2 4" xfId="741"/>
    <cellStyle name="Comma 3 3 3 3" xfId="541"/>
    <cellStyle name="Comma 3 3 3 3 2" xfId="888"/>
    <cellStyle name="Comma 3 3 3 4" xfId="443"/>
    <cellStyle name="Comma 3 3 3 4 2" xfId="790"/>
    <cellStyle name="Comma 3 3 3 5" xfId="345"/>
    <cellStyle name="Comma 3 3 3 5 2" xfId="692"/>
    <cellStyle name="Comma 3 3 3 6" xfId="642"/>
    <cellStyle name="Comma 3 3 4" xfId="369"/>
    <cellStyle name="Comma 3 3 4 2" xfId="565"/>
    <cellStyle name="Comma 3 3 4 2 2" xfId="912"/>
    <cellStyle name="Comma 3 3 4 3" xfId="467"/>
    <cellStyle name="Comma 3 3 4 3 2" xfId="814"/>
    <cellStyle name="Comma 3 3 4 4" xfId="716"/>
    <cellStyle name="Comma 3 3 5" xfId="516"/>
    <cellStyle name="Comma 3 3 5 2" xfId="863"/>
    <cellStyle name="Comma 3 3 6" xfId="418"/>
    <cellStyle name="Comma 3 3 6 2" xfId="765"/>
    <cellStyle name="Comma 3 3 7" xfId="320"/>
    <cellStyle name="Comma 3 3 7 2" xfId="667"/>
    <cellStyle name="Comma 3 3 8" xfId="617"/>
    <cellStyle name="Comma 3 4" xfId="263"/>
    <cellStyle name="Comma 3 4 2" xfId="300"/>
    <cellStyle name="Comma 3 4 2 2" xfId="400"/>
    <cellStyle name="Comma 3 4 2 2 2" xfId="596"/>
    <cellStyle name="Comma 3 4 2 2 2 2" xfId="943"/>
    <cellStyle name="Comma 3 4 2 2 3" xfId="498"/>
    <cellStyle name="Comma 3 4 2 2 3 2" xfId="845"/>
    <cellStyle name="Comma 3 4 2 2 4" xfId="747"/>
    <cellStyle name="Comma 3 4 2 3" xfId="547"/>
    <cellStyle name="Comma 3 4 2 3 2" xfId="894"/>
    <cellStyle name="Comma 3 4 2 4" xfId="449"/>
    <cellStyle name="Comma 3 4 2 4 2" xfId="796"/>
    <cellStyle name="Comma 3 4 2 5" xfId="351"/>
    <cellStyle name="Comma 3 4 2 5 2" xfId="698"/>
    <cellStyle name="Comma 3 4 2 6" xfId="648"/>
    <cellStyle name="Comma 3 4 3" xfId="375"/>
    <cellStyle name="Comma 3 4 3 2" xfId="571"/>
    <cellStyle name="Comma 3 4 3 2 2" xfId="918"/>
    <cellStyle name="Comma 3 4 3 3" xfId="473"/>
    <cellStyle name="Comma 3 4 3 3 2" xfId="820"/>
    <cellStyle name="Comma 3 4 3 4" xfId="722"/>
    <cellStyle name="Comma 3 4 4" xfId="522"/>
    <cellStyle name="Comma 3 4 4 2" xfId="869"/>
    <cellStyle name="Comma 3 4 5" xfId="424"/>
    <cellStyle name="Comma 3 4 5 2" xfId="771"/>
    <cellStyle name="Comma 3 4 6" xfId="326"/>
    <cellStyle name="Comma 3 4 6 2" xfId="673"/>
    <cellStyle name="Comma 3 4 7" xfId="623"/>
    <cellStyle name="Comma 3 5" xfId="288"/>
    <cellStyle name="Comma 3 5 2" xfId="388"/>
    <cellStyle name="Comma 3 5 2 2" xfId="584"/>
    <cellStyle name="Comma 3 5 2 2 2" xfId="931"/>
    <cellStyle name="Comma 3 5 2 3" xfId="486"/>
    <cellStyle name="Comma 3 5 2 3 2" xfId="833"/>
    <cellStyle name="Comma 3 5 2 4" xfId="735"/>
    <cellStyle name="Comma 3 5 3" xfId="535"/>
    <cellStyle name="Comma 3 5 3 2" xfId="882"/>
    <cellStyle name="Comma 3 5 4" xfId="437"/>
    <cellStyle name="Comma 3 5 4 2" xfId="784"/>
    <cellStyle name="Comma 3 5 5" xfId="339"/>
    <cellStyle name="Comma 3 5 5 2" xfId="686"/>
    <cellStyle name="Comma 3 5 6" xfId="636"/>
    <cellStyle name="Comma 3 6" xfId="363"/>
    <cellStyle name="Comma 3 6 2" xfId="559"/>
    <cellStyle name="Comma 3 6 2 2" xfId="906"/>
    <cellStyle name="Comma 3 6 3" xfId="461"/>
    <cellStyle name="Comma 3 6 3 2" xfId="808"/>
    <cellStyle name="Comma 3 6 4" xfId="710"/>
    <cellStyle name="Comma 3 7" xfId="510"/>
    <cellStyle name="Comma 3 7 2" xfId="857"/>
    <cellStyle name="Comma 3 8" xfId="412"/>
    <cellStyle name="Comma 3 8 2" xfId="759"/>
    <cellStyle name="Comma 3 9" xfId="314"/>
    <cellStyle name="Comma 3 9 2" xfId="661"/>
    <cellStyle name="Comma 4" xfId="246"/>
    <cellStyle name="Comma 4 2" xfId="252"/>
    <cellStyle name="Comma 4 2 2" xfId="272"/>
    <cellStyle name="Comma 4 2 2 2" xfId="309"/>
    <cellStyle name="Comma 4 2 2 2 2" xfId="409"/>
    <cellStyle name="Comma 4 2 2 2 2 2" xfId="605"/>
    <cellStyle name="Comma 4 2 2 2 2 2 2" xfId="952"/>
    <cellStyle name="Comma 4 2 2 2 2 3" xfId="507"/>
    <cellStyle name="Comma 4 2 2 2 2 3 2" xfId="854"/>
    <cellStyle name="Comma 4 2 2 2 2 4" xfId="756"/>
    <cellStyle name="Comma 4 2 2 2 3" xfId="556"/>
    <cellStyle name="Comma 4 2 2 2 3 2" xfId="903"/>
    <cellStyle name="Comma 4 2 2 2 4" xfId="458"/>
    <cellStyle name="Comma 4 2 2 2 4 2" xfId="805"/>
    <cellStyle name="Comma 4 2 2 2 5" xfId="360"/>
    <cellStyle name="Comma 4 2 2 2 5 2" xfId="707"/>
    <cellStyle name="Comma 4 2 2 2 6" xfId="657"/>
    <cellStyle name="Comma 4 2 2 3" xfId="384"/>
    <cellStyle name="Comma 4 2 2 3 2" xfId="580"/>
    <cellStyle name="Comma 4 2 2 3 2 2" xfId="927"/>
    <cellStyle name="Comma 4 2 2 3 3" xfId="482"/>
    <cellStyle name="Comma 4 2 2 3 3 2" xfId="829"/>
    <cellStyle name="Comma 4 2 2 3 4" xfId="731"/>
    <cellStyle name="Comma 4 2 2 4" xfId="531"/>
    <cellStyle name="Comma 4 2 2 4 2" xfId="878"/>
    <cellStyle name="Comma 4 2 2 5" xfId="433"/>
    <cellStyle name="Comma 4 2 2 5 2" xfId="780"/>
    <cellStyle name="Comma 4 2 2 6" xfId="335"/>
    <cellStyle name="Comma 4 2 2 6 2" xfId="682"/>
    <cellStyle name="Comma 4 2 2 7" xfId="632"/>
    <cellStyle name="Comma 4 2 3" xfId="297"/>
    <cellStyle name="Comma 4 2 3 2" xfId="397"/>
    <cellStyle name="Comma 4 2 3 2 2" xfId="593"/>
    <cellStyle name="Comma 4 2 3 2 2 2" xfId="940"/>
    <cellStyle name="Comma 4 2 3 2 3" xfId="495"/>
    <cellStyle name="Comma 4 2 3 2 3 2" xfId="842"/>
    <cellStyle name="Comma 4 2 3 2 4" xfId="744"/>
    <cellStyle name="Comma 4 2 3 3" xfId="544"/>
    <cellStyle name="Comma 4 2 3 3 2" xfId="891"/>
    <cellStyle name="Comma 4 2 3 4" xfId="446"/>
    <cellStyle name="Comma 4 2 3 4 2" xfId="793"/>
    <cellStyle name="Comma 4 2 3 5" xfId="348"/>
    <cellStyle name="Comma 4 2 3 5 2" xfId="695"/>
    <cellStyle name="Comma 4 2 3 6" xfId="645"/>
    <cellStyle name="Comma 4 2 4" xfId="372"/>
    <cellStyle name="Comma 4 2 4 2" xfId="568"/>
    <cellStyle name="Comma 4 2 4 2 2" xfId="915"/>
    <cellStyle name="Comma 4 2 4 3" xfId="470"/>
    <cellStyle name="Comma 4 2 4 3 2" xfId="817"/>
    <cellStyle name="Comma 4 2 4 4" xfId="719"/>
    <cellStyle name="Comma 4 2 5" xfId="519"/>
    <cellStyle name="Comma 4 2 5 2" xfId="866"/>
    <cellStyle name="Comma 4 2 6" xfId="421"/>
    <cellStyle name="Comma 4 2 6 2" xfId="768"/>
    <cellStyle name="Comma 4 2 7" xfId="323"/>
    <cellStyle name="Comma 4 2 7 2" xfId="670"/>
    <cellStyle name="Comma 4 2 8" xfId="620"/>
    <cellStyle name="Comma 4 3" xfId="266"/>
    <cellStyle name="Comma 4 3 2" xfId="303"/>
    <cellStyle name="Comma 4 3 2 2" xfId="403"/>
    <cellStyle name="Comma 4 3 2 2 2" xfId="599"/>
    <cellStyle name="Comma 4 3 2 2 2 2" xfId="946"/>
    <cellStyle name="Comma 4 3 2 2 3" xfId="501"/>
    <cellStyle name="Comma 4 3 2 2 3 2" xfId="848"/>
    <cellStyle name="Comma 4 3 2 2 4" xfId="750"/>
    <cellStyle name="Comma 4 3 2 3" xfId="550"/>
    <cellStyle name="Comma 4 3 2 3 2" xfId="897"/>
    <cellStyle name="Comma 4 3 2 4" xfId="452"/>
    <cellStyle name="Comma 4 3 2 4 2" xfId="799"/>
    <cellStyle name="Comma 4 3 2 5" xfId="354"/>
    <cellStyle name="Comma 4 3 2 5 2" xfId="701"/>
    <cellStyle name="Comma 4 3 2 6" xfId="651"/>
    <cellStyle name="Comma 4 3 3" xfId="378"/>
    <cellStyle name="Comma 4 3 3 2" xfId="574"/>
    <cellStyle name="Comma 4 3 3 2 2" xfId="921"/>
    <cellStyle name="Comma 4 3 3 3" xfId="476"/>
    <cellStyle name="Comma 4 3 3 3 2" xfId="823"/>
    <cellStyle name="Comma 4 3 3 4" xfId="725"/>
    <cellStyle name="Comma 4 3 4" xfId="525"/>
    <cellStyle name="Comma 4 3 4 2" xfId="872"/>
    <cellStyle name="Comma 4 3 5" xfId="427"/>
    <cellStyle name="Comma 4 3 5 2" xfId="774"/>
    <cellStyle name="Comma 4 3 6" xfId="329"/>
    <cellStyle name="Comma 4 3 6 2" xfId="676"/>
    <cellStyle name="Comma 4 3 7" xfId="626"/>
    <cellStyle name="Comma 4 4" xfId="291"/>
    <cellStyle name="Comma 4 4 2" xfId="391"/>
    <cellStyle name="Comma 4 4 2 2" xfId="587"/>
    <cellStyle name="Comma 4 4 2 2 2" xfId="934"/>
    <cellStyle name="Comma 4 4 2 3" xfId="489"/>
    <cellStyle name="Comma 4 4 2 3 2" xfId="836"/>
    <cellStyle name="Comma 4 4 2 4" xfId="738"/>
    <cellStyle name="Comma 4 4 3" xfId="538"/>
    <cellStyle name="Comma 4 4 3 2" xfId="885"/>
    <cellStyle name="Comma 4 4 4" xfId="440"/>
    <cellStyle name="Comma 4 4 4 2" xfId="787"/>
    <cellStyle name="Comma 4 4 5" xfId="342"/>
    <cellStyle name="Comma 4 4 5 2" xfId="689"/>
    <cellStyle name="Comma 4 4 6" xfId="639"/>
    <cellStyle name="Comma 4 5" xfId="366"/>
    <cellStyle name="Comma 4 5 2" xfId="562"/>
    <cellStyle name="Comma 4 5 2 2" xfId="909"/>
    <cellStyle name="Comma 4 5 3" xfId="464"/>
    <cellStyle name="Comma 4 5 3 2" xfId="811"/>
    <cellStyle name="Comma 4 5 4" xfId="713"/>
    <cellStyle name="Comma 4 6" xfId="513"/>
    <cellStyle name="Comma 4 6 2" xfId="860"/>
    <cellStyle name="Comma 4 7" xfId="415"/>
    <cellStyle name="Comma 4 7 2" xfId="762"/>
    <cellStyle name="Comma 4 8" xfId="317"/>
    <cellStyle name="Comma 4 8 2" xfId="664"/>
    <cellStyle name="Comma 4 9" xfId="614"/>
    <cellStyle name="Comma 5" xfId="286"/>
    <cellStyle name="Comma 5 2" xfId="386"/>
    <cellStyle name="Comma 5 2 2" xfId="582"/>
    <cellStyle name="Comma 5 2 2 2" xfId="929"/>
    <cellStyle name="Comma 5 2 3" xfId="484"/>
    <cellStyle name="Comma 5 2 3 2" xfId="831"/>
    <cellStyle name="Comma 5 2 4" xfId="733"/>
    <cellStyle name="Comma 5 3" xfId="533"/>
    <cellStyle name="Comma 5 3 2" xfId="880"/>
    <cellStyle name="Comma 5 4" xfId="435"/>
    <cellStyle name="Comma 5 4 2" xfId="782"/>
    <cellStyle name="Comma 5 5" xfId="337"/>
    <cellStyle name="Comma 5 5 2" xfId="684"/>
    <cellStyle name="Comma 5 6" xfId="634"/>
    <cellStyle name="Comma 6" xfId="312"/>
    <cellStyle name="Comma 6 2" xfId="659"/>
    <cellStyle name="Excel Built-in Normal" xfId="2"/>
    <cellStyle name="Neutral 2" xfId="239"/>
    <cellStyle name="Neutral 3" xfId="260"/>
    <cellStyle name="Neutral 4" xfId="282"/>
    <cellStyle name="Normal" xfId="0" builtinId="0"/>
    <cellStyle name="Normal 10" xfId="50"/>
    <cellStyle name="Normal 100" xfId="141"/>
    <cellStyle name="Normal 101" xfId="142"/>
    <cellStyle name="Normal 102" xfId="143"/>
    <cellStyle name="Normal 103" xfId="144"/>
    <cellStyle name="Normal 104" xfId="145"/>
    <cellStyle name="Normal 105" xfId="146"/>
    <cellStyle name="Normal 106" xfId="147"/>
    <cellStyle name="Normal 107" xfId="148"/>
    <cellStyle name="Normal 108" xfId="149"/>
    <cellStyle name="Normal 109" xfId="150"/>
    <cellStyle name="Normal 11" xfId="129"/>
    <cellStyle name="Normal 110" xfId="151"/>
    <cellStyle name="Normal 111" xfId="152"/>
    <cellStyle name="Normal 112" xfId="153"/>
    <cellStyle name="Normal 113" xfId="154"/>
    <cellStyle name="Normal 114" xfId="155"/>
    <cellStyle name="Normal 115" xfId="156"/>
    <cellStyle name="Normal 116" xfId="157"/>
    <cellStyle name="Normal 117" xfId="158"/>
    <cellStyle name="Normal 118" xfId="159"/>
    <cellStyle name="Normal 119" xfId="160"/>
    <cellStyle name="Normal 12" xfId="51"/>
    <cellStyle name="Normal 120" xfId="161"/>
    <cellStyle name="Normal 121" xfId="162"/>
    <cellStyle name="Normal 122" xfId="163"/>
    <cellStyle name="Normal 123" xfId="164"/>
    <cellStyle name="Normal 124" xfId="165"/>
    <cellStyle name="Normal 125" xfId="166"/>
    <cellStyle name="Normal 126" xfId="167"/>
    <cellStyle name="Normal 127" xfId="168"/>
    <cellStyle name="Normal 128" xfId="169"/>
    <cellStyle name="Normal 129" xfId="170"/>
    <cellStyle name="Normal 13" xfId="52"/>
    <cellStyle name="Normal 130" xfId="171"/>
    <cellStyle name="Normal 131" xfId="172"/>
    <cellStyle name="Normal 132" xfId="173"/>
    <cellStyle name="Normal 133" xfId="174"/>
    <cellStyle name="Normal 134" xfId="175"/>
    <cellStyle name="Normal 135" xfId="176"/>
    <cellStyle name="Normal 136" xfId="177"/>
    <cellStyle name="Normal 137" xfId="178"/>
    <cellStyle name="Normal 138" xfId="179"/>
    <cellStyle name="Normal 139" xfId="180"/>
    <cellStyle name="Normal 14" xfId="53"/>
    <cellStyle name="Normal 140" xfId="181"/>
    <cellStyle name="Normal 141" xfId="182"/>
    <cellStyle name="Normal 142" xfId="183"/>
    <cellStyle name="Normal 143" xfId="184"/>
    <cellStyle name="Normal 144" xfId="185"/>
    <cellStyle name="Normal 145" xfId="186"/>
    <cellStyle name="Normal 146" xfId="187"/>
    <cellStyle name="Normal 147" xfId="188"/>
    <cellStyle name="Normal 148" xfId="189"/>
    <cellStyle name="Normal 149" xfId="190"/>
    <cellStyle name="Normal 15" xfId="54"/>
    <cellStyle name="Normal 150" xfId="191"/>
    <cellStyle name="Normal 151" xfId="192"/>
    <cellStyle name="Normal 152" xfId="193"/>
    <cellStyle name="Normal 153" xfId="194"/>
    <cellStyle name="Normal 154" xfId="195"/>
    <cellStyle name="Normal 155" xfId="196"/>
    <cellStyle name="Normal 156" xfId="197"/>
    <cellStyle name="Normal 157" xfId="198"/>
    <cellStyle name="Normal 158" xfId="199"/>
    <cellStyle name="Normal 159" xfId="200"/>
    <cellStyle name="Normal 16" xfId="55"/>
    <cellStyle name="Normal 160" xfId="201"/>
    <cellStyle name="Normal 161" xfId="202"/>
    <cellStyle name="Normal 162" xfId="203"/>
    <cellStyle name="Normal 163" xfId="204"/>
    <cellStyle name="Normal 164" xfId="206"/>
    <cellStyle name="Normal 165" xfId="207"/>
    <cellStyle name="Normal 166" xfId="208"/>
    <cellStyle name="Normal 167" xfId="209"/>
    <cellStyle name="Normal 168" xfId="210"/>
    <cellStyle name="Normal 169" xfId="211"/>
    <cellStyle name="Normal 17" xfId="56"/>
    <cellStyle name="Normal 170" xfId="212"/>
    <cellStyle name="Normal 171" xfId="213"/>
    <cellStyle name="Normal 172" xfId="214"/>
    <cellStyle name="Normal 173" xfId="215"/>
    <cellStyle name="Normal 174" xfId="216"/>
    <cellStyle name="Normal 175" xfId="217"/>
    <cellStyle name="Normal 176" xfId="218"/>
    <cellStyle name="Normal 177" xfId="219"/>
    <cellStyle name="Normal 178" xfId="220"/>
    <cellStyle name="Normal 179" xfId="221"/>
    <cellStyle name="Normal 18" xfId="57"/>
    <cellStyle name="Normal 180" xfId="222"/>
    <cellStyle name="Normal 181" xfId="223"/>
    <cellStyle name="Normal 182" xfId="224"/>
    <cellStyle name="Normal 183" xfId="225"/>
    <cellStyle name="Normal 184" xfId="226"/>
    <cellStyle name="Normal 185" xfId="227"/>
    <cellStyle name="Normal 186" xfId="228"/>
    <cellStyle name="Normal 187" xfId="238"/>
    <cellStyle name="Normal 188" xfId="275"/>
    <cellStyle name="Normal 189" xfId="274"/>
    <cellStyle name="Normal 19" xfId="58"/>
    <cellStyle name="Normal 190" xfId="607"/>
    <cellStyle name="Normal 190 2" xfId="954"/>
    <cellStyle name="Normal 191" xfId="608"/>
    <cellStyle name="Normal 2" xfId="4"/>
    <cellStyle name="Normal 2 10" xfId="6"/>
    <cellStyle name="Normal 2 11" xfId="7"/>
    <cellStyle name="Normal 2 12" xfId="8"/>
    <cellStyle name="Normal 2 13" xfId="9"/>
    <cellStyle name="Normal 2 14" xfId="229"/>
    <cellStyle name="Normal 2 15" xfId="46"/>
    <cellStyle name="Normal 2 16" xfId="5"/>
    <cellStyle name="Normal 2 17" xfId="311"/>
    <cellStyle name="Normal 2 18" xfId="609"/>
    <cellStyle name="Normal 2 2" xfId="10"/>
    <cellStyle name="Normal 2 2 10" xfId="11"/>
    <cellStyle name="Normal 2 2 11" xfId="12"/>
    <cellStyle name="Normal 2 2 12" xfId="13"/>
    <cellStyle name="Normal 2 2 2" xfId="14"/>
    <cellStyle name="Normal 2 2 2 10" xfId="15"/>
    <cellStyle name="Normal 2 2 2 11" xfId="16"/>
    <cellStyle name="Normal 2 2 2 12" xfId="17"/>
    <cellStyle name="Normal 2 2 2 2" xfId="18"/>
    <cellStyle name="Normal 2 2 2 3" xfId="19"/>
    <cellStyle name="Normal 2 2 2 4" xfId="20"/>
    <cellStyle name="Normal 2 2 2 5" xfId="21"/>
    <cellStyle name="Normal 2 2 2 6" xfId="22"/>
    <cellStyle name="Normal 2 2 2 7" xfId="23"/>
    <cellStyle name="Normal 2 2 2 8" xfId="24"/>
    <cellStyle name="Normal 2 2 2 9" xfId="25"/>
    <cellStyle name="Normal 2 2 3" xfId="26"/>
    <cellStyle name="Normal 2 2 4" xfId="27"/>
    <cellStyle name="Normal 2 2 5" xfId="28"/>
    <cellStyle name="Normal 2 2 6" xfId="29"/>
    <cellStyle name="Normal 2 2 7" xfId="30"/>
    <cellStyle name="Normal 2 2 8" xfId="31"/>
    <cellStyle name="Normal 2 2 9" xfId="32"/>
    <cellStyle name="Normal 2 3" xfId="33"/>
    <cellStyle name="Normal 2 4" xfId="34"/>
    <cellStyle name="Normal 2 48" xfId="205"/>
    <cellStyle name="Normal 2 5" xfId="35"/>
    <cellStyle name="Normal 2 6" xfId="36"/>
    <cellStyle name="Normal 2 7" xfId="37"/>
    <cellStyle name="Normal 2 8" xfId="38"/>
    <cellStyle name="Normal 2 9" xfId="39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26" xfId="65"/>
    <cellStyle name="Normal 27" xfId="66"/>
    <cellStyle name="Normal 28" xfId="67"/>
    <cellStyle name="Normal 29" xfId="68"/>
    <cellStyle name="Normal 3" xfId="40"/>
    <cellStyle name="Normal 3 2" xfId="41"/>
    <cellStyle name="Normal 3 3" xfId="230"/>
    <cellStyle name="Normal 3 4" xfId="45"/>
    <cellStyle name="Normal 30" xfId="69"/>
    <cellStyle name="Normal 31" xfId="70"/>
    <cellStyle name="Normal 32" xfId="71"/>
    <cellStyle name="Normal 33" xfId="72"/>
    <cellStyle name="Normal 34" xfId="73"/>
    <cellStyle name="Normal 35" xfId="74"/>
    <cellStyle name="Normal 36" xfId="75"/>
    <cellStyle name="Normal 37" xfId="76"/>
    <cellStyle name="Normal 38" xfId="77"/>
    <cellStyle name="Normal 39" xfId="78"/>
    <cellStyle name="Normal 4" xfId="42"/>
    <cellStyle name="Normal 4 2" xfId="231"/>
    <cellStyle name="Normal 4 3" xfId="44"/>
    <cellStyle name="Normal 40" xfId="79"/>
    <cellStyle name="Normal 41" xfId="80"/>
    <cellStyle name="Normal 42" xfId="81"/>
    <cellStyle name="Normal 43" xfId="82"/>
    <cellStyle name="Normal 44" xfId="83"/>
    <cellStyle name="Normal 45" xfId="84"/>
    <cellStyle name="Normal 46" xfId="85"/>
    <cellStyle name="Normal 47" xfId="86"/>
    <cellStyle name="Normal 48" xfId="87"/>
    <cellStyle name="Normal 49" xfId="89"/>
    <cellStyle name="Normal 5" xfId="43"/>
    <cellStyle name="Normal 50" xfId="88"/>
    <cellStyle name="Normal 51" xfId="90"/>
    <cellStyle name="Normal 52" xfId="91"/>
    <cellStyle name="Normal 53" xfId="92"/>
    <cellStyle name="Normal 54" xfId="93"/>
    <cellStyle name="Normal 55" xfId="94"/>
    <cellStyle name="Normal 56" xfId="95"/>
    <cellStyle name="Normal 57" xfId="96"/>
    <cellStyle name="Normal 58" xfId="97"/>
    <cellStyle name="Normal 59" xfId="98"/>
    <cellStyle name="Normal 6" xfId="47"/>
    <cellStyle name="Normal 60" xfId="99"/>
    <cellStyle name="Normal 61" xfId="100"/>
    <cellStyle name="Normal 62" xfId="101"/>
    <cellStyle name="Normal 63" xfId="102"/>
    <cellStyle name="Normal 64" xfId="103"/>
    <cellStyle name="Normal 65" xfId="104"/>
    <cellStyle name="Normal 66" xfId="105"/>
    <cellStyle name="Normal 67" xfId="106"/>
    <cellStyle name="Normal 68" xfId="107"/>
    <cellStyle name="Normal 69" xfId="108"/>
    <cellStyle name="Normal 7" xfId="48"/>
    <cellStyle name="Normal 70" xfId="109"/>
    <cellStyle name="Normal 71" xfId="124"/>
    <cellStyle name="Normal 72" xfId="115"/>
    <cellStyle name="Normal 73" xfId="112"/>
    <cellStyle name="Normal 74" xfId="118"/>
    <cellStyle name="Normal 75" xfId="116"/>
    <cellStyle name="Normal 76" xfId="117"/>
    <cellStyle name="Normal 77" xfId="120"/>
    <cellStyle name="Normal 78" xfId="122"/>
    <cellStyle name="Normal 79" xfId="110"/>
    <cellStyle name="Normal 8" xfId="49"/>
    <cellStyle name="Normal 80" xfId="121"/>
    <cellStyle name="Normal 81" xfId="123"/>
    <cellStyle name="Normal 82" xfId="111"/>
    <cellStyle name="Normal 83" xfId="119"/>
    <cellStyle name="Normal 84" xfId="126"/>
    <cellStyle name="Normal 85" xfId="125"/>
    <cellStyle name="Normal 86" xfId="113"/>
    <cellStyle name="Normal 87" xfId="128"/>
    <cellStyle name="Normal 88" xfId="127"/>
    <cellStyle name="Normal 89" xfId="130"/>
    <cellStyle name="Normal 9" xfId="114"/>
    <cellStyle name="Normal 90" xfId="131"/>
    <cellStyle name="Normal 91" xfId="132"/>
    <cellStyle name="Normal 92" xfId="133"/>
    <cellStyle name="Normal 93" xfId="134"/>
    <cellStyle name="Normal 94" xfId="135"/>
    <cellStyle name="Normal 95" xfId="136"/>
    <cellStyle name="Normal 96" xfId="137"/>
    <cellStyle name="Normal 97" xfId="138"/>
    <cellStyle name="Normal 98" xfId="139"/>
    <cellStyle name="Normal 99" xfId="140"/>
    <cellStyle name="Note 2" xfId="283"/>
    <cellStyle name="Percent" xfId="1" builtinId="5"/>
    <cellStyle name="Percent 2" xfId="284"/>
    <cellStyle name="Title 2" xfId="234"/>
    <cellStyle name="Title 3" xfId="235"/>
    <cellStyle name="Title 4" xfId="261"/>
    <cellStyle name="Title 5" xfId="28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A68"/>
  <sheetViews>
    <sheetView showGridLines="0" zoomScaleNormal="100" workbookViewId="0">
      <selection activeCell="E14" sqref="E14"/>
    </sheetView>
  </sheetViews>
  <sheetFormatPr defaultColWidth="9.140625" defaultRowHeight="12.75" x14ac:dyDescent="0.25"/>
  <cols>
    <col min="1" max="1" width="2" style="40" bestFit="1" customWidth="1"/>
    <col min="2" max="2" width="4.42578125" style="40" bestFit="1" customWidth="1"/>
    <col min="3" max="3" width="67.28515625" style="40" bestFit="1" customWidth="1"/>
    <col min="4" max="4" width="14.42578125" style="40" bestFit="1" customWidth="1"/>
    <col min="5" max="5" width="17.85546875" style="40" bestFit="1" customWidth="1"/>
    <col min="6" max="6" width="4.28515625" style="40" bestFit="1" customWidth="1"/>
    <col min="7" max="7" width="10.85546875" style="40" bestFit="1" customWidth="1"/>
    <col min="8" max="8" width="7.42578125" style="40" bestFit="1" customWidth="1"/>
    <col min="9" max="9" width="3.85546875" style="40" customWidth="1"/>
    <col min="10" max="10" width="13.85546875" style="41" bestFit="1" customWidth="1"/>
    <col min="11" max="11" width="6.28515625" style="40" bestFit="1" customWidth="1"/>
    <col min="12" max="12" width="16" style="42" bestFit="1" customWidth="1"/>
    <col min="13" max="13" width="7.140625" style="40" bestFit="1" customWidth="1"/>
    <col min="14" max="14" width="16" style="42" bestFit="1" customWidth="1"/>
    <col min="15" max="15" width="7.5703125" style="40" bestFit="1" customWidth="1"/>
    <col min="16" max="16" width="14.42578125" style="42" bestFit="1" customWidth="1"/>
    <col min="17" max="17" width="12" style="40" bestFit="1" customWidth="1"/>
    <col min="18" max="18" width="12.42578125" style="42" bestFit="1" customWidth="1"/>
    <col min="19" max="19" width="12" style="40" bestFit="1" customWidth="1"/>
    <col min="20" max="20" width="13.5703125" style="40" bestFit="1" customWidth="1"/>
    <col min="21" max="23" width="9.140625" style="40" customWidth="1"/>
    <col min="24" max="24" width="12" style="40" bestFit="1" customWidth="1"/>
    <col min="25" max="25" width="14.85546875" style="40" bestFit="1" customWidth="1"/>
    <col min="26" max="26" width="9.140625" style="40" customWidth="1"/>
    <col min="27" max="27" width="13.5703125" style="40" bestFit="1" customWidth="1"/>
    <col min="28" max="28" width="9.140625" style="40" customWidth="1"/>
    <col min="29" max="29" width="13.5703125" style="40" bestFit="1" customWidth="1"/>
    <col min="30" max="31" width="13.5703125" style="40" customWidth="1"/>
    <col min="32" max="32" width="11.28515625" style="40" bestFit="1" customWidth="1"/>
    <col min="33" max="33" width="15.7109375" style="40" customWidth="1"/>
    <col min="34" max="34" width="6" style="40" bestFit="1" customWidth="1"/>
    <col min="35" max="36" width="11" style="40" bestFit="1" customWidth="1"/>
    <col min="37" max="39" width="9.140625" style="40" customWidth="1"/>
    <col min="40" max="40" width="13.85546875" style="40" bestFit="1" customWidth="1"/>
    <col min="41" max="41" width="12.140625" style="40" bestFit="1" customWidth="1"/>
    <col min="42" max="42" width="15" style="40" bestFit="1" customWidth="1"/>
    <col min="43" max="43" width="14.28515625" style="40" bestFit="1" customWidth="1"/>
    <col min="44" max="44" width="18.28515625" style="40" bestFit="1" customWidth="1"/>
    <col min="45" max="45" width="9.85546875" style="40" bestFit="1" customWidth="1"/>
    <col min="46" max="46" width="12.28515625" style="40" bestFit="1" customWidth="1"/>
    <col min="47" max="47" width="33.85546875" style="40" bestFit="1" customWidth="1"/>
    <col min="48" max="48" width="10.140625" style="40" bestFit="1" customWidth="1"/>
    <col min="49" max="49" width="12" style="40" bestFit="1" customWidth="1"/>
    <col min="50" max="50" width="14.7109375" style="40" bestFit="1" customWidth="1"/>
    <col min="51" max="51" width="9.42578125" style="40" bestFit="1" customWidth="1"/>
    <col min="52" max="52" width="11.140625" style="40" bestFit="1" customWidth="1"/>
    <col min="53" max="53" width="10.42578125" style="40" bestFit="1" customWidth="1"/>
    <col min="54" max="55" width="9.140625" style="40" customWidth="1"/>
    <col min="56" max="16384" width="9.140625" style="40"/>
  </cols>
  <sheetData>
    <row r="2" spans="2:53" ht="15.75" customHeight="1" x14ac:dyDescent="0.25">
      <c r="B2" s="231"/>
      <c r="C2" s="188" t="s">
        <v>0</v>
      </c>
      <c r="D2" s="227">
        <v>45336</v>
      </c>
      <c r="E2" s="226"/>
      <c r="F2" s="43"/>
      <c r="G2" s="44"/>
      <c r="AU2" s="69"/>
      <c r="AV2" s="69"/>
      <c r="AW2" s="70" t="s">
        <v>1</v>
      </c>
      <c r="AX2" s="70" t="s">
        <v>2</v>
      </c>
      <c r="AY2" s="70" t="s">
        <v>3</v>
      </c>
      <c r="AZ2" s="70" t="s">
        <v>4</v>
      </c>
    </row>
    <row r="3" spans="2:53" x14ac:dyDescent="0.25">
      <c r="B3" s="232"/>
      <c r="C3" s="236" t="s">
        <v>5</v>
      </c>
      <c r="D3" s="78" t="s">
        <v>6</v>
      </c>
      <c r="E3" s="115" t="s">
        <v>7</v>
      </c>
      <c r="F3" s="45"/>
      <c r="G3" s="44"/>
      <c r="J3" s="46">
        <f>D2</f>
        <v>45336</v>
      </c>
      <c r="AT3" s="42"/>
      <c r="AU3" s="71" t="s">
        <v>8</v>
      </c>
      <c r="AV3" s="71" t="s">
        <v>9</v>
      </c>
      <c r="AW3" s="71" t="s">
        <v>10</v>
      </c>
      <c r="AX3" s="71" t="s">
        <v>11</v>
      </c>
      <c r="AY3" s="71" t="s">
        <v>12</v>
      </c>
      <c r="AZ3" s="71" t="s">
        <v>13</v>
      </c>
    </row>
    <row r="4" spans="2:53" ht="12.75" customHeight="1" x14ac:dyDescent="0.25">
      <c r="B4" s="233"/>
      <c r="C4" s="233"/>
      <c r="D4" s="78" t="s">
        <v>14</v>
      </c>
      <c r="E4" s="79" t="s">
        <v>15</v>
      </c>
      <c r="F4" s="45"/>
      <c r="G4" s="47"/>
      <c r="J4" s="48" t="s">
        <v>16</v>
      </c>
      <c r="K4" s="225" t="s">
        <v>17</v>
      </c>
      <c r="L4" s="226"/>
      <c r="M4" s="225" t="s">
        <v>3</v>
      </c>
      <c r="N4" s="226"/>
      <c r="O4" s="225" t="s">
        <v>18</v>
      </c>
      <c r="P4" s="226"/>
      <c r="Q4" s="225" t="s">
        <v>4</v>
      </c>
      <c r="R4" s="226"/>
      <c r="S4" s="223" t="s">
        <v>19</v>
      </c>
      <c r="T4" s="223" t="s">
        <v>20</v>
      </c>
      <c r="AT4" s="42"/>
      <c r="AU4" s="72">
        <f>E10+E9+E8</f>
        <v>443129.12999999523</v>
      </c>
      <c r="AV4" s="72">
        <f>E24</f>
        <v>0</v>
      </c>
      <c r="AW4" s="72">
        <f>E17</f>
        <v>0</v>
      </c>
      <c r="AX4" s="72">
        <f>E18</f>
        <v>0</v>
      </c>
      <c r="AY4" s="72">
        <f>E12</f>
        <v>0</v>
      </c>
      <c r="AZ4" s="72">
        <f>E13</f>
        <v>0</v>
      </c>
      <c r="BA4" s="98">
        <f>AU4+AY4+AZ4-AW4-AX4-AV4</f>
        <v>443129.12999999523</v>
      </c>
    </row>
    <row r="5" spans="2:53" ht="12.75" customHeight="1" x14ac:dyDescent="0.25">
      <c r="B5" s="49"/>
      <c r="C5" s="49"/>
      <c r="D5" s="49"/>
      <c r="E5" s="191"/>
      <c r="F5" s="192"/>
      <c r="G5" s="47"/>
      <c r="J5" s="193">
        <f>DATE(YEAR(D2),MONTH(D2),1)</f>
        <v>45323</v>
      </c>
      <c r="K5" s="50" t="s">
        <v>21</v>
      </c>
      <c r="L5" s="51" t="s">
        <v>22</v>
      </c>
      <c r="M5" s="50" t="s">
        <v>21</v>
      </c>
      <c r="N5" s="51" t="s">
        <v>22</v>
      </c>
      <c r="O5" s="50" t="s">
        <v>21</v>
      </c>
      <c r="P5" s="51" t="s">
        <v>22</v>
      </c>
      <c r="Q5" s="50" t="s">
        <v>21</v>
      </c>
      <c r="R5" s="51" t="s">
        <v>22</v>
      </c>
      <c r="S5" s="224"/>
      <c r="T5" s="224"/>
      <c r="AT5" s="53"/>
      <c r="AU5" s="54"/>
    </row>
    <row r="6" spans="2:53" x14ac:dyDescent="0.2">
      <c r="B6" s="188"/>
      <c r="C6" s="188" t="s">
        <v>23</v>
      </c>
      <c r="D6" s="78" t="s">
        <v>24</v>
      </c>
      <c r="E6" s="79" t="s">
        <v>25</v>
      </c>
      <c r="F6" s="80"/>
      <c r="G6" s="80" t="s">
        <v>26</v>
      </c>
      <c r="J6" s="52" t="str">
        <f>TEXT(EDATE($J$5,1),"MMM")&amp;"_"&amp;TEXT(EDATE($J$5,1),"YYYY")</f>
        <v>Mar_2024</v>
      </c>
      <c r="K6" s="194">
        <f>COUNTIF('DR IN BANK'!$D:$D,"="&amp;J6)</f>
        <v>0</v>
      </c>
      <c r="L6" s="124">
        <f>SUMIFS('DR IN BANK'!$I:$I,'DR IN BANK'!$D:$D,"="&amp;J6)</f>
        <v>0</v>
      </c>
      <c r="M6" s="108">
        <f>COUNTIF('CR IN BANK'!$D:$D,"="&amp;J6)</f>
        <v>0</v>
      </c>
      <c r="N6" s="124">
        <f>SUMIFS('CR IN BANK'!$Q:$Q,'CR IN BANK'!$D:$D,"="&amp;J6)</f>
        <v>0</v>
      </c>
      <c r="O6" s="108">
        <f>COUNTIF('DR IN LEDGER'!$D:$D,"="&amp;J6)</f>
        <v>0</v>
      </c>
      <c r="P6" s="124">
        <f>SUMIFS('DR IN LEDGER'!$Q:$Q,'DR IN LEDGER'!$D:$D,"="&amp;J6)</f>
        <v>0</v>
      </c>
      <c r="Q6" s="108">
        <f>COUNTIF('CR IN LEDGER'!$D:$D,"="&amp;J6)</f>
        <v>0</v>
      </c>
      <c r="R6" s="124">
        <f>SUMIFS('CR IN LEDGER'!$Q:$Q,'CR IN LEDGER'!$D:$D,"="&amp;J6)</f>
        <v>0</v>
      </c>
      <c r="S6" s="125">
        <f t="shared" ref="S6:S16" si="0">K6+M6+O6+Q6</f>
        <v>0</v>
      </c>
      <c r="T6" s="126">
        <f t="shared" ref="T6:T16" si="1">L6+N6+P6+R6</f>
        <v>0</v>
      </c>
      <c r="AT6" s="53"/>
      <c r="AU6" s="54"/>
    </row>
    <row r="7" spans="2:53" x14ac:dyDescent="0.2">
      <c r="B7" s="80"/>
      <c r="C7" s="80"/>
      <c r="D7" s="81"/>
      <c r="E7" s="82"/>
      <c r="F7" s="80"/>
      <c r="G7" s="80">
        <v>3258</v>
      </c>
      <c r="J7" s="52" t="str">
        <f>TEXT(EDATE($J$5,0),"MMM")&amp;"_"&amp;TEXT(EDATE($J$5,1),"YYYY")</f>
        <v>Feb_2024</v>
      </c>
      <c r="K7" s="194">
        <f>COUNTIF('DR IN BANK'!$D:$D,"="&amp;J7)</f>
        <v>0</v>
      </c>
      <c r="L7" s="124">
        <f>SUMIFS('DR IN BANK'!$I:$I,'DR IN BANK'!$D:$D,"="&amp;J7)</f>
        <v>0</v>
      </c>
      <c r="M7" s="108">
        <f>COUNTIF('CR IN BANK'!$D:$D,"="&amp;J7)</f>
        <v>0</v>
      </c>
      <c r="N7" s="124">
        <f>SUMIFS('CR IN BANK'!$Q:$Q,'CR IN BANK'!$D:$D,"="&amp;J7)</f>
        <v>0</v>
      </c>
      <c r="O7" s="108">
        <f>COUNTIF('DR IN LEDGER'!$D:$D,"="&amp;J7)</f>
        <v>0</v>
      </c>
      <c r="P7" s="124">
        <f>SUMIFS('DR IN LEDGER'!$Q:$Q,'DR IN LEDGER'!$D:$D,"="&amp;J7)</f>
        <v>0</v>
      </c>
      <c r="Q7" s="108">
        <f>COUNTIF('CR IN LEDGER'!$D:$D,"="&amp;J7)</f>
        <v>0</v>
      </c>
      <c r="R7" s="124">
        <f>SUMIFS('CR IN LEDGER'!$Q:$Q,'CR IN LEDGER'!$D:$D,"="&amp;J7)</f>
        <v>0</v>
      </c>
      <c r="S7" s="125">
        <f t="shared" si="0"/>
        <v>0</v>
      </c>
      <c r="T7" s="126">
        <f t="shared" si="1"/>
        <v>0</v>
      </c>
      <c r="AT7" s="53"/>
      <c r="AU7" s="54"/>
    </row>
    <row r="8" spans="2:53" x14ac:dyDescent="0.2">
      <c r="B8" s="188"/>
      <c r="C8" s="84" t="str">
        <f>"CLOSING BALANCE AS PER (BOOK) FINNONE - HDFCCOLL4310  AS OF "&amp;TEXT(D2,"dd-mmm-yy")</f>
        <v>CLOSING BALANCE AS PER (BOOK) FINNONE - HDFCCOLL4310  AS OF 14-Feb-24</v>
      </c>
      <c r="D8" s="79" t="s">
        <v>15</v>
      </c>
      <c r="E8" s="97" t="s">
        <v>27</v>
      </c>
      <c r="F8" s="195" t="s">
        <v>28</v>
      </c>
      <c r="G8" s="83" t="s">
        <v>29</v>
      </c>
      <c r="H8" s="68"/>
      <c r="J8" s="52" t="str">
        <f>TEXT(EDATE($J$5,-1),"MMM")&amp;"_"&amp;TEXT(EDATE($J$5,-1),"YYYY")</f>
        <v>Jan_2024</v>
      </c>
      <c r="K8" s="194">
        <f>COUNTIF('DR IN BANK'!$D:$D,"="&amp;J8)</f>
        <v>0</v>
      </c>
      <c r="L8" s="124">
        <f>SUMIFS('DR IN BANK'!$I:$I,'DR IN BANK'!$D:$D,"="&amp;J8)</f>
        <v>0</v>
      </c>
      <c r="M8" s="108">
        <f>COUNTIF('CR IN BANK'!$D:$D,"="&amp;J8)</f>
        <v>0</v>
      </c>
      <c r="N8" s="124">
        <f>SUMIFS('CR IN BANK'!$Q:$Q,'CR IN BANK'!$D:$D,"="&amp;J8)</f>
        <v>0</v>
      </c>
      <c r="O8" s="108">
        <f>COUNTIF('DR IN LEDGER'!$D:$D,"="&amp;J8)</f>
        <v>0</v>
      </c>
      <c r="P8" s="124">
        <f>SUMIFS('DR IN LEDGER'!$Q:$Q,'DR IN LEDGER'!$D:$D,"="&amp;J8)</f>
        <v>0</v>
      </c>
      <c r="Q8" s="108">
        <f>COUNTIF('CR IN LEDGER'!$D:$D,"="&amp;J8)</f>
        <v>0</v>
      </c>
      <c r="R8" s="124">
        <f>SUMIFS('CR IN LEDGER'!$Q:$Q,'CR IN LEDGER'!$D:$D,"="&amp;J8)</f>
        <v>0</v>
      </c>
      <c r="S8" s="125">
        <f t="shared" si="0"/>
        <v>0</v>
      </c>
      <c r="T8" s="126">
        <f t="shared" si="1"/>
        <v>0</v>
      </c>
      <c r="AT8" s="53"/>
      <c r="AU8" s="54"/>
    </row>
    <row r="9" spans="2:53" x14ac:dyDescent="0.2">
      <c r="B9" s="188"/>
      <c r="C9" s="84" t="str">
        <f>"CLOSING BALANCE AS PER (BOOK) PENNANT- HDFCCOLL4310 AS OF "&amp;TEXT(D2,"dd-mmm-yy")</f>
        <v>CLOSING BALANCE AS PER (BOOK) PENNANT- HDFCCOLL4310 AS OF 14-Feb-24</v>
      </c>
      <c r="D9" s="79" t="s">
        <v>15</v>
      </c>
      <c r="E9" s="97">
        <v>104781213.70999999</v>
      </c>
      <c r="F9" s="195" t="s">
        <v>30</v>
      </c>
      <c r="G9" s="83" t="s">
        <v>31</v>
      </c>
      <c r="J9" s="52" t="str">
        <f>TEXT(EDATE($J$5,-2),"MMM")&amp;"_"&amp;TEXT(EDATE($J$5,-2),"YYYY")</f>
        <v>Dec_2023</v>
      </c>
      <c r="K9" s="194">
        <f>COUNTIF('DR IN BANK'!$D:$D,"="&amp;J9)</f>
        <v>0</v>
      </c>
      <c r="L9" s="124">
        <f>SUMIFS('DR IN BANK'!$I:$I,'DR IN BANK'!$D:$D,"="&amp;J9)</f>
        <v>0</v>
      </c>
      <c r="M9" s="108">
        <f>COUNTIF('CR IN BANK'!$D:$D,"="&amp;J9)</f>
        <v>0</v>
      </c>
      <c r="N9" s="124">
        <f>SUMIFS('CR IN BANK'!$Q:$Q,'CR IN BANK'!$D:$D,"="&amp;J9)</f>
        <v>0</v>
      </c>
      <c r="O9" s="108">
        <f>COUNTIF('DR IN LEDGER'!$D:$D,"="&amp;J9)</f>
        <v>0</v>
      </c>
      <c r="P9" s="124">
        <f>SUMIFS('DR IN LEDGER'!$Q:$Q,'DR IN LEDGER'!$D:$D,"="&amp;J9)</f>
        <v>0</v>
      </c>
      <c r="Q9" s="108">
        <f>COUNTIF('CR IN LEDGER'!$D:$D,"="&amp;J9)</f>
        <v>0</v>
      </c>
      <c r="R9" s="124">
        <f>SUMIFS('CR IN LEDGER'!$Q:$Q,'CR IN LEDGER'!$D:$D,"="&amp;J9)</f>
        <v>0</v>
      </c>
      <c r="S9" s="125">
        <f t="shared" si="0"/>
        <v>0</v>
      </c>
      <c r="T9" s="126">
        <f t="shared" si="1"/>
        <v>0</v>
      </c>
      <c r="AT9" s="53"/>
      <c r="AU9" s="54"/>
    </row>
    <row r="10" spans="2:53" x14ac:dyDescent="0.2">
      <c r="B10" s="188"/>
      <c r="C10" s="84" t="s">
        <v>32</v>
      </c>
      <c r="D10" s="78">
        <v>13251</v>
      </c>
      <c r="E10" s="97">
        <v>112101</v>
      </c>
      <c r="F10" s="195" t="s">
        <v>30</v>
      </c>
      <c r="G10" s="83"/>
      <c r="J10" s="52" t="str">
        <f>TEXT(EDATE($J$5,-3),"MMM")&amp;"_"&amp;TEXT(EDATE($J$5,-3),"YYYY")</f>
        <v>Nov_2023</v>
      </c>
      <c r="K10" s="194">
        <f>COUNTIF('DR IN BANK'!$D:$D,"="&amp;J10)</f>
        <v>0</v>
      </c>
      <c r="L10" s="124">
        <f>SUMIFS('DR IN BANK'!$I:$I,'DR IN BANK'!$D:$D,"="&amp;J10)</f>
        <v>0</v>
      </c>
      <c r="M10" s="108">
        <f>COUNTIF('CR IN BANK'!$D:$D,"="&amp;J10)</f>
        <v>0</v>
      </c>
      <c r="N10" s="124">
        <f>SUMIFS('CR IN BANK'!$Q:$Q,'CR IN BANK'!$D:$D,"="&amp;J10)</f>
        <v>0</v>
      </c>
      <c r="O10" s="108">
        <f>COUNTIF('DR IN LEDGER'!$D:$D,"="&amp;J10)</f>
        <v>0</v>
      </c>
      <c r="P10" s="124">
        <f>SUMIFS('DR IN LEDGER'!$Q:$Q,'DR IN LEDGER'!$D:$D,"="&amp;J10)</f>
        <v>0</v>
      </c>
      <c r="Q10" s="108">
        <f>COUNTIF('CR IN LEDGER'!$D:$D,"="&amp;J10)</f>
        <v>0</v>
      </c>
      <c r="R10" s="124">
        <f>SUMIFS('CR IN LEDGER'!$Q:$Q,'CR IN LEDGER'!$D:$D,"="&amp;J10)</f>
        <v>0</v>
      </c>
      <c r="S10" s="125">
        <f t="shared" si="0"/>
        <v>0</v>
      </c>
      <c r="T10" s="126">
        <f t="shared" si="1"/>
        <v>0</v>
      </c>
      <c r="AT10" s="53"/>
      <c r="AU10" s="54"/>
    </row>
    <row r="11" spans="2:53" x14ac:dyDescent="0.2">
      <c r="B11" s="80"/>
      <c r="C11" s="80"/>
      <c r="D11" s="49"/>
      <c r="E11" s="56"/>
      <c r="F11" s="85"/>
      <c r="G11" s="83"/>
      <c r="J11" s="52" t="str">
        <f>TEXT(EDATE($J$5,-4),"MMM")&amp;"_"&amp;TEXT(EDATE($J$5,-4),"YYYY")</f>
        <v>Oct_2023</v>
      </c>
      <c r="K11" s="194">
        <f>COUNTIF('DR IN BANK'!$D:$D,"="&amp;J11)</f>
        <v>0</v>
      </c>
      <c r="L11" s="124">
        <f>SUMIFS('DR IN BANK'!$I:$I,'DR IN BANK'!$D:$D,"="&amp;J11)</f>
        <v>0</v>
      </c>
      <c r="M11" s="108">
        <f>COUNTIF('CR IN BANK'!$D:$D,"="&amp;J11)</f>
        <v>0</v>
      </c>
      <c r="N11" s="124">
        <f>SUMIFS('CR IN BANK'!$Q:$Q,'CR IN BANK'!$D:$D,"="&amp;J11)</f>
        <v>0</v>
      </c>
      <c r="O11" s="108">
        <f>COUNTIF('DR IN LEDGER'!$D:$D,"="&amp;J11)</f>
        <v>0</v>
      </c>
      <c r="P11" s="124">
        <f>SUMIFS('DR IN LEDGER'!$Q:$Q,'DR IN LEDGER'!$D:$D,"="&amp;J11)</f>
        <v>0</v>
      </c>
      <c r="Q11" s="108">
        <f>COUNTIF('CR IN LEDGER'!$D:$D,"="&amp;J11)</f>
        <v>0</v>
      </c>
      <c r="R11" s="124">
        <f>SUMIFS('CR IN LEDGER'!$Q:$Q,'CR IN LEDGER'!$D:$D,"="&amp;J11)</f>
        <v>0</v>
      </c>
      <c r="S11" s="125">
        <f t="shared" si="0"/>
        <v>0</v>
      </c>
      <c r="T11" s="126">
        <f t="shared" si="1"/>
        <v>0</v>
      </c>
      <c r="AT11" s="53"/>
      <c r="AU11" s="54"/>
    </row>
    <row r="12" spans="2:53" x14ac:dyDescent="0.2">
      <c r="B12" s="80" t="s">
        <v>33</v>
      </c>
      <c r="C12" s="80" t="s">
        <v>34</v>
      </c>
      <c r="D12" s="49">
        <f>'CR IN BANK'!F2</f>
        <v>0</v>
      </c>
      <c r="E12" s="105">
        <f>'CR IN BANK'!G2</f>
        <v>0</v>
      </c>
      <c r="F12" s="85"/>
      <c r="G12" s="83" t="s">
        <v>35</v>
      </c>
      <c r="J12" s="52" t="str">
        <f>TEXT(EDATE($J$5,-5),"MMM")&amp;"_"&amp;TEXT(EDATE($J$5,-5),"YYYY")</f>
        <v>Sep_2023</v>
      </c>
      <c r="K12" s="194">
        <f>COUNTIF('DR IN BANK'!$D:$D,"="&amp;J12)</f>
        <v>0</v>
      </c>
      <c r="L12" s="124">
        <f>SUMIFS('DR IN BANK'!$I:$I,'DR IN BANK'!$D:$D,"="&amp;J12)</f>
        <v>0</v>
      </c>
      <c r="M12" s="108">
        <f>COUNTIF('CR IN BANK'!$D:$D,"="&amp;J12)</f>
        <v>0</v>
      </c>
      <c r="N12" s="124">
        <f>SUMIFS('CR IN BANK'!$Q:$Q,'CR IN BANK'!$D:$D,"="&amp;J12)</f>
        <v>0</v>
      </c>
      <c r="O12" s="108">
        <f>COUNTIF('DR IN LEDGER'!$D:$D,"="&amp;J12)</f>
        <v>0</v>
      </c>
      <c r="P12" s="124">
        <f>SUMIFS('DR IN LEDGER'!$Q:$Q,'DR IN LEDGER'!$D:$D,"="&amp;J12)</f>
        <v>0</v>
      </c>
      <c r="Q12" s="108">
        <f>COUNTIF('CR IN LEDGER'!$D:$D,"="&amp;J12)</f>
        <v>0</v>
      </c>
      <c r="R12" s="124">
        <f>SUMIFS('CR IN LEDGER'!$Q:$Q,'CR IN LEDGER'!$D:$D,"="&amp;J12)</f>
        <v>0</v>
      </c>
      <c r="S12" s="125">
        <f t="shared" si="0"/>
        <v>0</v>
      </c>
      <c r="T12" s="126">
        <f t="shared" si="1"/>
        <v>0</v>
      </c>
      <c r="AT12" s="53"/>
      <c r="AU12" s="54"/>
    </row>
    <row r="13" spans="2:53" x14ac:dyDescent="0.2">
      <c r="B13" s="80"/>
      <c r="C13" s="80" t="s">
        <v>36</v>
      </c>
      <c r="D13" s="49">
        <f>'CR IN LEDGER'!L2</f>
        <v>0</v>
      </c>
      <c r="E13" s="105">
        <f>'CR IN LEDGER'!M2</f>
        <v>0</v>
      </c>
      <c r="F13" s="85"/>
      <c r="G13" s="83" t="s">
        <v>37</v>
      </c>
      <c r="J13" s="52" t="str">
        <f>TEXT(EDATE($J$5,-6),"MMM")&amp;"_"&amp;TEXT(EDATE($J$5,-6),"YYYY")</f>
        <v>Aug_2023</v>
      </c>
      <c r="K13" s="194">
        <f>COUNTIF('DR IN BANK'!$D:$D,"="&amp;J13)</f>
        <v>0</v>
      </c>
      <c r="L13" s="124">
        <f>SUMIFS('DR IN BANK'!$I:$I,'DR IN BANK'!$D:$D,"="&amp;J13)</f>
        <v>0</v>
      </c>
      <c r="M13" s="108">
        <f>COUNTIF('CR IN BANK'!$D:$D,"="&amp;J13)</f>
        <v>0</v>
      </c>
      <c r="N13" s="124">
        <f>SUMIFS('CR IN BANK'!$Q:$Q,'CR IN BANK'!$D:$D,"="&amp;J13)</f>
        <v>0</v>
      </c>
      <c r="O13" s="108">
        <f>COUNTIF('DR IN LEDGER'!$D:$D,"="&amp;J13)</f>
        <v>0</v>
      </c>
      <c r="P13" s="124">
        <f>SUMIFS('DR IN LEDGER'!$Q:$Q,'DR IN LEDGER'!$D:$D,"="&amp;J13)</f>
        <v>0</v>
      </c>
      <c r="Q13" s="108">
        <f>COUNTIF('CR IN LEDGER'!$D:$D,"="&amp;J13)</f>
        <v>0</v>
      </c>
      <c r="R13" s="124">
        <f>SUMIFS('CR IN LEDGER'!$Q:$Q,'CR IN LEDGER'!$D:$D,"="&amp;J13)</f>
        <v>0</v>
      </c>
      <c r="S13" s="125">
        <f t="shared" si="0"/>
        <v>0</v>
      </c>
      <c r="T13" s="126">
        <f t="shared" si="1"/>
        <v>0</v>
      </c>
      <c r="AT13" s="53"/>
      <c r="AU13" s="54"/>
    </row>
    <row r="14" spans="2:53" x14ac:dyDescent="0.2">
      <c r="B14" s="80"/>
      <c r="C14" s="80"/>
      <c r="D14" s="49"/>
      <c r="E14" s="105"/>
      <c r="F14" s="85"/>
      <c r="G14" s="83"/>
      <c r="J14" s="52" t="str">
        <f>TEXT(EDATE($J$5,-7),"MMM")&amp;"_"&amp;TEXT(EDATE($J$5,-7),"YYYY")</f>
        <v>Jul_2023</v>
      </c>
      <c r="K14" s="194">
        <f>COUNTIF('DR IN BANK'!$D:$D,"="&amp;J14)</f>
        <v>0</v>
      </c>
      <c r="L14" s="124">
        <f>SUMIFS('DR IN BANK'!$I:$I,'DR IN BANK'!$D:$D,"="&amp;J14)</f>
        <v>0</v>
      </c>
      <c r="M14" s="108">
        <f>COUNTIF('CR IN BANK'!$D:$D,"="&amp;J14)</f>
        <v>0</v>
      </c>
      <c r="N14" s="124">
        <f>SUMIFS('CR IN BANK'!$Q:$Q,'CR IN BANK'!$D:$D,"="&amp;J14)</f>
        <v>0</v>
      </c>
      <c r="O14" s="108">
        <f>COUNTIF('DR IN LEDGER'!$D:$D,"="&amp;J14)</f>
        <v>0</v>
      </c>
      <c r="P14" s="124">
        <f>SUMIFS('DR IN LEDGER'!$Q:$Q,'DR IN LEDGER'!$D:$D,"="&amp;J14)</f>
        <v>0</v>
      </c>
      <c r="Q14" s="108">
        <f>COUNTIF('CR IN LEDGER'!$D:$D,"="&amp;J14)</f>
        <v>0</v>
      </c>
      <c r="R14" s="124">
        <f>SUMIFS('CR IN LEDGER'!$Q:$Q,'CR IN LEDGER'!$D:$D,"="&amp;J14)</f>
        <v>0</v>
      </c>
      <c r="S14" s="125">
        <f t="shared" si="0"/>
        <v>0</v>
      </c>
      <c r="T14" s="126">
        <f t="shared" si="1"/>
        <v>0</v>
      </c>
      <c r="AU14" s="42"/>
    </row>
    <row r="15" spans="2:53" x14ac:dyDescent="0.2">
      <c r="B15" s="80"/>
      <c r="C15" s="80" t="s">
        <v>38</v>
      </c>
      <c r="D15" s="58">
        <f>D12+D13</f>
        <v>0</v>
      </c>
      <c r="E15" s="105">
        <f>E12+E13</f>
        <v>0</v>
      </c>
      <c r="F15" s="85"/>
      <c r="G15" s="83" t="s">
        <v>39</v>
      </c>
      <c r="J15" s="52" t="str">
        <f>TEXT(EDATE($J$5,-8),"MMM")&amp;"_"&amp;TEXT(EDATE($J$5,-8),"YYYY")</f>
        <v>Jun_2023</v>
      </c>
      <c r="K15" s="194">
        <f>COUNTIF('DR IN BANK'!$D:$D,"="&amp;J15)</f>
        <v>0</v>
      </c>
      <c r="L15" s="124">
        <f>SUMIFS('DR IN BANK'!$I:$I,'DR IN BANK'!$D:$D,"="&amp;J15)</f>
        <v>0</v>
      </c>
      <c r="M15" s="108">
        <f>COUNTIF('CR IN BANK'!$D:$D,"="&amp;J15)</f>
        <v>0</v>
      </c>
      <c r="N15" s="124">
        <f>SUMIFS('CR IN BANK'!$Q:$Q,'CR IN BANK'!$D:$D,"="&amp;J15)</f>
        <v>0</v>
      </c>
      <c r="O15" s="108">
        <f>COUNTIF('DR IN LEDGER'!$D:$D,"="&amp;J15)</f>
        <v>0</v>
      </c>
      <c r="P15" s="124">
        <f>SUMIFS('DR IN LEDGER'!$Q:$Q,'DR IN LEDGER'!$D:$D,"="&amp;J15)</f>
        <v>0</v>
      </c>
      <c r="Q15" s="108">
        <f>COUNTIF('CR IN LEDGER'!$D:$D,"="&amp;J15)</f>
        <v>0</v>
      </c>
      <c r="R15" s="124">
        <f>SUMIFS('CR IN LEDGER'!$Q:$Q,'CR IN LEDGER'!$D:$D,"="&amp;J15)</f>
        <v>0</v>
      </c>
      <c r="S15" s="125">
        <f t="shared" si="0"/>
        <v>0</v>
      </c>
      <c r="T15" s="126">
        <f t="shared" si="1"/>
        <v>0</v>
      </c>
      <c r="AU15" s="42"/>
    </row>
    <row r="16" spans="2:53" x14ac:dyDescent="0.2">
      <c r="B16" s="80"/>
      <c r="C16" s="80"/>
      <c r="D16" s="49"/>
      <c r="E16" s="105"/>
      <c r="F16" s="85"/>
      <c r="G16" s="83"/>
      <c r="H16" s="68"/>
      <c r="J16" s="52" t="str">
        <f>TEXT(EDATE($J$5,-10),"MMM")&amp;"_"&amp;TEXT(EDATE($J$5,-10),"YYYY")</f>
        <v>Apr_2023</v>
      </c>
      <c r="K16" s="194">
        <f>COUNTIF('DR IN BANK'!$D:$D,"="&amp;J16)</f>
        <v>0</v>
      </c>
      <c r="L16" s="124">
        <f>SUMIFS('DR IN BANK'!$I:$I,'DR IN BANK'!$D:$D,"="&amp;J16)</f>
        <v>0</v>
      </c>
      <c r="M16" s="108">
        <f>COUNTIF('CR IN BANK'!$D:$D,"="&amp;J16)</f>
        <v>0</v>
      </c>
      <c r="N16" s="124">
        <f>SUMIFS('CR IN BANK'!$Q:$Q,'CR IN BANK'!$D:$D,"="&amp;J16)</f>
        <v>0</v>
      </c>
      <c r="O16" s="108">
        <f>COUNTIF('DR IN LEDGER'!$D:$D,"="&amp;J16)</f>
        <v>0</v>
      </c>
      <c r="P16" s="124">
        <f>SUMIFS('DR IN LEDGER'!$Q:$Q,'DR IN LEDGER'!$D:$D,"="&amp;J16)</f>
        <v>0</v>
      </c>
      <c r="Q16" s="108">
        <f>COUNTIF('CR IN LEDGER'!$D:$D,"="&amp;J16)</f>
        <v>0</v>
      </c>
      <c r="R16" s="124">
        <f>SUMIFS('CR IN LEDGER'!$Q:$Q,'CR IN LEDGER'!$D:$D,"="&amp;J16)</f>
        <v>0</v>
      </c>
      <c r="S16" s="125">
        <f t="shared" si="0"/>
        <v>0</v>
      </c>
      <c r="T16" s="126">
        <f t="shared" si="1"/>
        <v>0</v>
      </c>
      <c r="W16" s="98"/>
      <c r="AU16" s="42"/>
    </row>
    <row r="17" spans="2:46" x14ac:dyDescent="0.25">
      <c r="B17" s="80" t="s">
        <v>40</v>
      </c>
      <c r="C17" s="80" t="s">
        <v>41</v>
      </c>
      <c r="D17" s="49">
        <f>'DR IN BANK'!F2</f>
        <v>0</v>
      </c>
      <c r="E17" s="105">
        <f>'DR IN BANK'!G2</f>
        <v>0</v>
      </c>
      <c r="F17" s="85"/>
      <c r="G17" s="83" t="s">
        <v>42</v>
      </c>
      <c r="J17" s="60" t="s">
        <v>43</v>
      </c>
      <c r="K17" s="196">
        <f t="shared" ref="K17:T17" si="2">SUM(K6:K16)</f>
        <v>0</v>
      </c>
      <c r="L17" s="61">
        <f t="shared" si="2"/>
        <v>0</v>
      </c>
      <c r="M17" s="187">
        <f t="shared" si="2"/>
        <v>0</v>
      </c>
      <c r="N17" s="61">
        <f t="shared" si="2"/>
        <v>0</v>
      </c>
      <c r="O17" s="187">
        <f t="shared" si="2"/>
        <v>0</v>
      </c>
      <c r="P17" s="61">
        <f t="shared" si="2"/>
        <v>0</v>
      </c>
      <c r="Q17" s="187">
        <f t="shared" si="2"/>
        <v>0</v>
      </c>
      <c r="R17" s="62">
        <f t="shared" si="2"/>
        <v>0</v>
      </c>
      <c r="S17" s="63">
        <f t="shared" si="2"/>
        <v>0</v>
      </c>
      <c r="T17" s="61">
        <f t="shared" si="2"/>
        <v>0</v>
      </c>
      <c r="AT17" s="42"/>
    </row>
    <row r="18" spans="2:46" x14ac:dyDescent="0.25">
      <c r="B18" s="80"/>
      <c r="C18" s="80" t="s">
        <v>44</v>
      </c>
      <c r="D18" s="59">
        <f>'DR IN LEDGER'!L2</f>
        <v>0</v>
      </c>
      <c r="E18" s="105">
        <f>'DR IN LEDGER'!M2</f>
        <v>0</v>
      </c>
      <c r="F18" s="85"/>
      <c r="G18" s="83" t="s">
        <v>45</v>
      </c>
      <c r="J18" s="40"/>
      <c r="L18" s="40"/>
      <c r="N18" s="40"/>
      <c r="P18" s="40"/>
      <c r="R18" s="40"/>
      <c r="AT18" s="42"/>
    </row>
    <row r="19" spans="2:46" x14ac:dyDescent="0.25">
      <c r="B19" s="80"/>
      <c r="C19" s="80"/>
      <c r="D19" s="49"/>
      <c r="E19" s="105"/>
      <c r="F19" s="85"/>
      <c r="G19" s="83"/>
      <c r="H19" s="197"/>
      <c r="I19" s="197"/>
      <c r="J19" s="40"/>
      <c r="L19" s="40"/>
      <c r="N19" s="40"/>
      <c r="P19" s="40"/>
      <c r="R19" s="40"/>
      <c r="AT19" s="42"/>
    </row>
    <row r="20" spans="2:46" x14ac:dyDescent="0.25">
      <c r="B20" s="80"/>
      <c r="C20" s="80" t="s">
        <v>46</v>
      </c>
      <c r="D20" s="198">
        <f>D17+D18</f>
        <v>0</v>
      </c>
      <c r="E20" s="105">
        <f>E17+E18</f>
        <v>0</v>
      </c>
      <c r="F20" s="85"/>
      <c r="G20" s="83" t="s">
        <v>47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AN20" s="41"/>
      <c r="AP20" s="42"/>
      <c r="AR20" s="42"/>
      <c r="AT20" s="42"/>
    </row>
    <row r="21" spans="2:46" x14ac:dyDescent="0.25">
      <c r="B21" s="80"/>
      <c r="C21" s="80"/>
      <c r="D21" s="49"/>
      <c r="E21" s="105"/>
      <c r="F21" s="85"/>
      <c r="G21" s="83"/>
      <c r="H21" s="197"/>
      <c r="I21" s="197"/>
      <c r="AR21" s="42"/>
      <c r="AT21" s="42"/>
    </row>
    <row r="22" spans="2:46" ht="15" customHeight="1" x14ac:dyDescent="0.25">
      <c r="B22" s="80"/>
      <c r="C22" s="80" t="s">
        <v>48</v>
      </c>
      <c r="D22" s="58">
        <f>D15+D20</f>
        <v>0</v>
      </c>
      <c r="E22" s="58">
        <f>E8+E9+E10+E15-E20</f>
        <v>443129.12999999523</v>
      </c>
      <c r="F22" s="85"/>
      <c r="G22" s="83" t="s">
        <v>49</v>
      </c>
      <c r="J22" s="46">
        <f>$D$2</f>
        <v>45336</v>
      </c>
      <c r="K22" s="234" t="s">
        <v>50</v>
      </c>
      <c r="L22" s="235"/>
      <c r="M22" s="235"/>
      <c r="N22" s="235"/>
      <c r="AR22" s="42"/>
      <c r="AT22" s="42"/>
    </row>
    <row r="23" spans="2:46" ht="12.75" customHeight="1" x14ac:dyDescent="0.25">
      <c r="B23" s="80"/>
      <c r="C23" s="80"/>
      <c r="D23" s="49"/>
      <c r="E23" s="105"/>
      <c r="F23" s="85"/>
      <c r="G23" s="83"/>
      <c r="H23" s="68"/>
      <c r="J23" s="48" t="s">
        <v>16</v>
      </c>
      <c r="K23" s="225" t="s">
        <v>17</v>
      </c>
      <c r="L23" s="226"/>
      <c r="M23" s="225" t="s">
        <v>3</v>
      </c>
      <c r="N23" s="226"/>
      <c r="O23" s="225" t="s">
        <v>18</v>
      </c>
      <c r="P23" s="226"/>
      <c r="Q23" s="225" t="s">
        <v>4</v>
      </c>
      <c r="R23" s="226"/>
      <c r="S23" s="223" t="s">
        <v>19</v>
      </c>
      <c r="T23" s="223" t="s">
        <v>20</v>
      </c>
      <c r="AR23" s="42"/>
      <c r="AT23" s="42"/>
    </row>
    <row r="24" spans="2:46" x14ac:dyDescent="0.25">
      <c r="B24" s="188"/>
      <c r="C24" s="188" t="str">
        <f>"CLOSING BALANCE AS PER BANK STATEMENT AS OF "&amp;TEXT(D2,"dd-mmm-yy")</f>
        <v>CLOSING BALANCE AS PER BANK STATEMENT AS OF 14-Feb-24</v>
      </c>
      <c r="D24" s="78" t="s">
        <v>51</v>
      </c>
      <c r="E24" s="106">
        <v>0</v>
      </c>
      <c r="F24" s="155" t="s">
        <v>28</v>
      </c>
      <c r="G24" s="55" t="s">
        <v>52</v>
      </c>
      <c r="J24" s="193">
        <f>$J$5</f>
        <v>45323</v>
      </c>
      <c r="K24" s="50" t="s">
        <v>21</v>
      </c>
      <c r="L24" s="51" t="s">
        <v>22</v>
      </c>
      <c r="M24" s="50" t="s">
        <v>21</v>
      </c>
      <c r="N24" s="51" t="s">
        <v>22</v>
      </c>
      <c r="O24" s="50" t="s">
        <v>21</v>
      </c>
      <c r="P24" s="51" t="s">
        <v>22</v>
      </c>
      <c r="Q24" s="50" t="s">
        <v>21</v>
      </c>
      <c r="R24" s="51" t="s">
        <v>22</v>
      </c>
      <c r="S24" s="224"/>
      <c r="T24" s="224"/>
      <c r="AR24" s="42"/>
      <c r="AT24" s="42"/>
    </row>
    <row r="25" spans="2:46" ht="17.25" customHeight="1" x14ac:dyDescent="0.2">
      <c r="B25" s="80"/>
      <c r="C25" s="80"/>
      <c r="D25" s="81"/>
      <c r="E25" s="107"/>
      <c r="F25" s="57"/>
      <c r="G25" s="55"/>
      <c r="J25" s="52" t="str">
        <f>TEXT(EDATE($J$5,1),"MMM")&amp;"_"&amp;TEXT(EDATE($J$5,1),"YYYY")</f>
        <v>Mar_2024</v>
      </c>
      <c r="K25" s="194">
        <f>COUNTIF('DR IN BANK'!$D:$D,"="&amp;J25)</f>
        <v>0</v>
      </c>
      <c r="L25" s="124">
        <f>SUMIFS('DR IN BANK'!$I:$I,'DR IN BANK'!$D:$D,"="&amp;J25)</f>
        <v>0</v>
      </c>
      <c r="M25" s="108">
        <f>COUNTIF('CR IN BANK'!$D:$D,"="&amp;J25)</f>
        <v>0</v>
      </c>
      <c r="N25" s="124">
        <f>SUMIFS('CR IN BANK'!$Q:$Q,'CR IN BANK'!$D:$D,"="&amp;J25)</f>
        <v>0</v>
      </c>
      <c r="O25" s="108">
        <f>COUNTIF('DR IN LEDGER'!$D:$D,"="&amp;J25)</f>
        <v>0</v>
      </c>
      <c r="P25" s="124">
        <f>SUMIFS('DR IN LEDGER'!$Q:$Q,'DR IN LEDGER'!$D:$D,"="&amp;J25)</f>
        <v>0</v>
      </c>
      <c r="Q25" s="108">
        <f>COUNTIF('CR IN LEDGER'!$D:$D,"="&amp;J25)</f>
        <v>0</v>
      </c>
      <c r="R25" s="124">
        <f>SUMIFS('CR IN LEDGER'!$Q:$Q,'CR IN LEDGER'!$D:$D,"="&amp;J25)</f>
        <v>0</v>
      </c>
      <c r="S25" s="125">
        <f t="shared" ref="S25:T29" si="3">K25+M25+O25+Q25</f>
        <v>0</v>
      </c>
      <c r="T25" s="126">
        <f t="shared" si="3"/>
        <v>0</v>
      </c>
      <c r="AR25" s="42"/>
      <c r="AT25" s="42"/>
    </row>
    <row r="26" spans="2:46" x14ac:dyDescent="0.2">
      <c r="B26" s="188"/>
      <c r="C26" s="188" t="s">
        <v>53</v>
      </c>
      <c r="D26" s="78" t="s">
        <v>51</v>
      </c>
      <c r="E26" s="106">
        <f>E22-E24</f>
        <v>443129.12999999523</v>
      </c>
      <c r="F26" s="57"/>
      <c r="G26" s="55" t="s">
        <v>54</v>
      </c>
      <c r="J26" s="52" t="str">
        <f>TEXT($J$5,"MMM")&amp;"_"&amp;TEXT($J$5,"YYYY")</f>
        <v>Feb_2024</v>
      </c>
      <c r="K26" s="194">
        <f>COUNTIF('DR IN BANK'!$D:$D,"="&amp;J26)</f>
        <v>0</v>
      </c>
      <c r="L26" s="124">
        <f>SUMIFS('DR IN BANK'!$I:$I,'DR IN BANK'!$D:$D,"="&amp;J26)</f>
        <v>0</v>
      </c>
      <c r="M26" s="108">
        <f>COUNTIF('CR IN BANK'!$D:$D,"="&amp;J26)</f>
        <v>0</v>
      </c>
      <c r="N26" s="124">
        <f>SUMIFS('CR IN BANK'!$Q:$Q,'CR IN BANK'!$D:$D,"="&amp;J26)</f>
        <v>0</v>
      </c>
      <c r="O26" s="108">
        <f>COUNTIF('DR IN LEDGER'!$D:$D,"="&amp;J26)</f>
        <v>0</v>
      </c>
      <c r="P26" s="124">
        <f>SUMIFS('DR IN LEDGER'!$Q:$Q,'DR IN LEDGER'!$D:$D,"="&amp;J26)</f>
        <v>0</v>
      </c>
      <c r="Q26" s="108">
        <f>COUNTIF('CR IN LEDGER'!$D:$D,"="&amp;J26)</f>
        <v>0</v>
      </c>
      <c r="R26" s="124">
        <f>SUMIFS('CR IN LEDGER'!$Q:$Q,'CR IN LEDGER'!$D:$D,"="&amp;J26)</f>
        <v>0</v>
      </c>
      <c r="S26" s="125">
        <f t="shared" si="3"/>
        <v>0</v>
      </c>
      <c r="T26" s="126">
        <f t="shared" si="3"/>
        <v>0</v>
      </c>
      <c r="AR26" s="42"/>
      <c r="AT26" s="42"/>
    </row>
    <row r="27" spans="2:46" x14ac:dyDescent="0.2">
      <c r="E27" s="68"/>
      <c r="J27" s="52" t="str">
        <f>TEXT(EDATE($J$5,-1),"MMM")&amp;"_"&amp;TEXT(EDATE($J$5,-1),"YYYY")</f>
        <v>Jan_2024</v>
      </c>
      <c r="K27" s="194">
        <f>COUNTIF('DR IN BANK'!$D:$D,"="&amp;J27)</f>
        <v>0</v>
      </c>
      <c r="L27" s="124">
        <f>SUMIFS('DR IN BANK'!$I:$I,'DR IN BANK'!$D:$D,"="&amp;J27)</f>
        <v>0</v>
      </c>
      <c r="M27" s="108">
        <f>COUNTIF('CR IN BANK'!$D:$D,"="&amp;J27)</f>
        <v>0</v>
      </c>
      <c r="N27" s="124">
        <f>SUMIFS('CR IN BANK'!$Q:$Q,'CR IN BANK'!$D:$D,"="&amp;J27)</f>
        <v>0</v>
      </c>
      <c r="O27" s="108">
        <f>COUNTIF('DR IN LEDGER'!$D:$D,"="&amp;J27)</f>
        <v>0</v>
      </c>
      <c r="P27" s="124">
        <f>SUMIFS('DR IN LEDGER'!$Q:$Q,'DR IN LEDGER'!$D:$D,"="&amp;J27)</f>
        <v>0</v>
      </c>
      <c r="Q27" s="108">
        <f>COUNTIF('CR IN LEDGER'!$D:$D,"="&amp;J27)</f>
        <v>0</v>
      </c>
      <c r="R27" s="124">
        <f>SUMIFS('CR IN LEDGER'!$Q:$Q,'CR IN LEDGER'!$D:$D,"="&amp;J27)</f>
        <v>0</v>
      </c>
      <c r="S27" s="125">
        <f t="shared" si="3"/>
        <v>0</v>
      </c>
      <c r="T27" s="126">
        <f t="shared" si="3"/>
        <v>0</v>
      </c>
      <c r="AR27" s="42"/>
      <c r="AT27" s="42"/>
    </row>
    <row r="28" spans="2:46" x14ac:dyDescent="0.2">
      <c r="D28" s="68"/>
      <c r="J28" s="52" t="str">
        <f>TEXT(EDATE($J$5,-2),"MMM")&amp;"_"&amp;TEXT(EDATE($J$5,-2),"YYYY")</f>
        <v>Dec_2023</v>
      </c>
      <c r="K28" s="194">
        <f>COUNTIF('DR IN BANK'!$D:$D,"="&amp;J28)</f>
        <v>0</v>
      </c>
      <c r="L28" s="124">
        <f>SUMIFS('DR IN BANK'!$I:$I,'DR IN BANK'!$D:$D,"="&amp;J28)</f>
        <v>0</v>
      </c>
      <c r="M28" s="108">
        <f>COUNTIF('CR IN BANK'!$D:$D,"="&amp;J28)</f>
        <v>0</v>
      </c>
      <c r="N28" s="124">
        <f>SUMIFS('CR IN BANK'!$Q:$Q,'CR IN BANK'!$D:$D,"="&amp;J28)</f>
        <v>0</v>
      </c>
      <c r="O28" s="108">
        <f>COUNTIF('DR IN LEDGER'!$D:$D,"="&amp;J28)</f>
        <v>0</v>
      </c>
      <c r="P28" s="124">
        <f>SUMIFS('DR IN LEDGER'!$Q:$Q,'DR IN LEDGER'!$D:$D,"="&amp;J28)</f>
        <v>0</v>
      </c>
      <c r="Q28" s="108">
        <f>COUNTIF('CR IN LEDGER'!$D:$D,"="&amp;J28)</f>
        <v>0</v>
      </c>
      <c r="R28" s="124">
        <f>SUMIFS('CR IN LEDGER'!$Q:$Q,'CR IN LEDGER'!$D:$D,"="&amp;J28)</f>
        <v>0</v>
      </c>
      <c r="S28" s="125">
        <f t="shared" si="3"/>
        <v>0</v>
      </c>
      <c r="T28" s="126">
        <f t="shared" si="3"/>
        <v>0</v>
      </c>
      <c r="AR28" s="42"/>
      <c r="AT28" s="42"/>
    </row>
    <row r="29" spans="2:46" ht="12.75" customHeight="1" x14ac:dyDescent="0.2">
      <c r="J29" s="52" t="str">
        <f>TEXT(EDATE($J$5,-3),"MMM")&amp;"_"&amp;TEXT(EDATE($J$5,-3),"YYYY")</f>
        <v>Nov_2023</v>
      </c>
      <c r="K29" s="194">
        <f>COUNTIF('DR IN BANK'!$D:$D,"="&amp;J29)</f>
        <v>0</v>
      </c>
      <c r="L29" s="124">
        <f>SUMIFS('DR IN BANK'!$I:$I,'DR IN BANK'!$D:$D,"="&amp;J29)</f>
        <v>0</v>
      </c>
      <c r="M29" s="108">
        <f>COUNTIF('CR IN BANK'!$D:$D,"="&amp;J29)</f>
        <v>0</v>
      </c>
      <c r="N29" s="124">
        <f>SUMIFS('CR IN BANK'!$Q:$Q,'CR IN BANK'!$D:$D,"="&amp;J29)</f>
        <v>0</v>
      </c>
      <c r="O29" s="108">
        <f>COUNTIF('DR IN LEDGER'!$D:$D,"="&amp;J29)</f>
        <v>0</v>
      </c>
      <c r="P29" s="124">
        <f>SUMIFS('DR IN LEDGER'!$Q:$Q,'DR IN LEDGER'!$D:$D,"="&amp;J29)</f>
        <v>0</v>
      </c>
      <c r="Q29" s="108">
        <f>COUNTIF('CR IN LEDGER'!$D:$D,"="&amp;J29)</f>
        <v>0</v>
      </c>
      <c r="R29" s="124">
        <f>SUMIFS('CR IN LEDGER'!$Q:$Q,'CR IN LEDGER'!$D:$D,"="&amp;J29)</f>
        <v>0</v>
      </c>
      <c r="S29" s="125">
        <f t="shared" si="3"/>
        <v>0</v>
      </c>
      <c r="T29" s="126">
        <f t="shared" si="3"/>
        <v>0</v>
      </c>
      <c r="AP29" s="42"/>
      <c r="AR29" s="42"/>
    </row>
    <row r="30" spans="2:46" x14ac:dyDescent="0.25">
      <c r="J30" s="60" t="s">
        <v>43</v>
      </c>
      <c r="K30" s="187">
        <f t="shared" ref="K30:T30" si="4">SUM(K25:K29)</f>
        <v>0</v>
      </c>
      <c r="L30" s="61">
        <f t="shared" si="4"/>
        <v>0</v>
      </c>
      <c r="M30" s="187">
        <f t="shared" si="4"/>
        <v>0</v>
      </c>
      <c r="N30" s="61">
        <f t="shared" si="4"/>
        <v>0</v>
      </c>
      <c r="O30" s="187">
        <f t="shared" si="4"/>
        <v>0</v>
      </c>
      <c r="P30" s="61">
        <f t="shared" si="4"/>
        <v>0</v>
      </c>
      <c r="Q30" s="187">
        <f t="shared" si="4"/>
        <v>0</v>
      </c>
      <c r="R30" s="61">
        <f t="shared" si="4"/>
        <v>0</v>
      </c>
      <c r="S30" s="63">
        <f t="shared" si="4"/>
        <v>0</v>
      </c>
      <c r="T30" s="61">
        <f t="shared" si="4"/>
        <v>0</v>
      </c>
      <c r="AP30" s="42"/>
      <c r="AR30" s="42"/>
    </row>
    <row r="31" spans="2:46" x14ac:dyDescent="0.25">
      <c r="J31" s="40"/>
      <c r="L31" s="40"/>
      <c r="N31" s="40"/>
      <c r="P31" s="40"/>
      <c r="R31" s="40"/>
      <c r="AP31" s="42"/>
      <c r="AR31" s="42"/>
    </row>
    <row r="32" spans="2:46" x14ac:dyDescent="0.25">
      <c r="J32" s="40"/>
      <c r="L32" s="40"/>
      <c r="N32" s="40"/>
      <c r="P32" s="40"/>
      <c r="R32" s="40"/>
      <c r="AP32" s="42"/>
      <c r="AR32" s="42"/>
    </row>
    <row r="33" spans="10:44" x14ac:dyDescent="0.25">
      <c r="J33" s="40"/>
      <c r="L33" s="40"/>
      <c r="N33" s="40"/>
      <c r="P33" s="40"/>
      <c r="R33" s="40"/>
      <c r="AP33" s="42"/>
      <c r="AR33" s="42"/>
    </row>
    <row r="34" spans="10:44" x14ac:dyDescent="0.25">
      <c r="AP34" s="42"/>
      <c r="AR34" s="42"/>
    </row>
    <row r="35" spans="10:44" ht="15" customHeight="1" x14ac:dyDescent="0.25">
      <c r="J35" s="229" t="str">
        <f>"Overall Bucketing Summary as on Month of "&amp;J7&amp;""</f>
        <v>Overall Bucketing Summary as on Month of Feb_2024</v>
      </c>
      <c r="K35" s="230"/>
      <c r="L35" s="230"/>
      <c r="M35" s="230"/>
      <c r="N35" s="230"/>
      <c r="O35" s="230"/>
      <c r="P35" s="230"/>
      <c r="Q35" s="230"/>
      <c r="R35" s="230"/>
      <c r="S35" s="230"/>
      <c r="T35" s="226"/>
      <c r="AP35" s="42"/>
      <c r="AR35" s="42"/>
    </row>
    <row r="36" spans="10:44" ht="15" customHeight="1" x14ac:dyDescent="0.25">
      <c r="J36" s="228" t="s">
        <v>16</v>
      </c>
      <c r="K36" s="225" t="s">
        <v>17</v>
      </c>
      <c r="L36" s="226"/>
      <c r="M36" s="225" t="s">
        <v>3</v>
      </c>
      <c r="N36" s="226"/>
      <c r="O36" s="225" t="s">
        <v>18</v>
      </c>
      <c r="P36" s="226"/>
      <c r="Q36" s="225" t="s">
        <v>4</v>
      </c>
      <c r="R36" s="226"/>
      <c r="S36" s="223" t="s">
        <v>19</v>
      </c>
      <c r="T36" s="223" t="s">
        <v>20</v>
      </c>
      <c r="AP36" s="42"/>
      <c r="AR36" s="42"/>
    </row>
    <row r="37" spans="10:44" x14ac:dyDescent="0.25">
      <c r="J37" s="224"/>
      <c r="K37" s="50" t="s">
        <v>21</v>
      </c>
      <c r="L37" s="66" t="s">
        <v>22</v>
      </c>
      <c r="M37" s="50" t="s">
        <v>21</v>
      </c>
      <c r="N37" s="66" t="s">
        <v>22</v>
      </c>
      <c r="O37" s="50" t="s">
        <v>21</v>
      </c>
      <c r="P37" s="66" t="s">
        <v>22</v>
      </c>
      <c r="Q37" s="50" t="s">
        <v>21</v>
      </c>
      <c r="R37" s="66" t="s">
        <v>22</v>
      </c>
      <c r="S37" s="224"/>
      <c r="T37" s="224"/>
      <c r="AP37" s="42"/>
      <c r="AR37" s="42"/>
    </row>
    <row r="38" spans="10:44" x14ac:dyDescent="0.2">
      <c r="J38" s="52" t="s">
        <v>55</v>
      </c>
      <c r="K38" s="108">
        <f>COUNTIF('DR IN BANK'!$A:$A,"="&amp;J38)</f>
        <v>0</v>
      </c>
      <c r="L38" s="126">
        <f>SUMIFS('DR IN BANK'!$I:$I,'DR IN BANK'!$A:$A,"="&amp;J38)</f>
        <v>0</v>
      </c>
      <c r="M38" s="108">
        <f>COUNTIF('CR IN BANK'!$A:$A,"="&amp;J38)</f>
        <v>0</v>
      </c>
      <c r="N38" s="126">
        <f>SUMIFS('CR IN BANK'!$Q:$Q,'CR IN BANK'!$A:$A,"="&amp;J38)</f>
        <v>0</v>
      </c>
      <c r="O38" s="108">
        <f>COUNTIFS('DR IN LEDGER'!$A:$A,"="&amp;J38)</f>
        <v>0</v>
      </c>
      <c r="P38" s="126">
        <f>SUMIFS('DR IN LEDGER'!$Q:$Q,'DR IN LEDGER'!A:A,"="&amp;J38,'DR IN LEDGER'!$R:$R,"Dr")</f>
        <v>0</v>
      </c>
      <c r="Q38" s="108">
        <f t="shared" ref="Q38:R46" si="5">Q7</f>
        <v>0</v>
      </c>
      <c r="R38" s="108">
        <f t="shared" si="5"/>
        <v>0</v>
      </c>
      <c r="S38" s="125">
        <f t="shared" ref="S38:S46" si="6">K38+M38+O38+Q38</f>
        <v>0</v>
      </c>
      <c r="T38" s="126">
        <f t="shared" ref="T38:T46" si="7">L38+N38+P38+R38</f>
        <v>0</v>
      </c>
      <c r="AP38" s="42"/>
      <c r="AR38" s="42"/>
    </row>
    <row r="39" spans="10:44" x14ac:dyDescent="0.2">
      <c r="J39" s="52" t="s">
        <v>56</v>
      </c>
      <c r="K39" s="108">
        <f>COUNTIF('DR IN BANK'!$A:$A,"="&amp;J39)</f>
        <v>0</v>
      </c>
      <c r="L39" s="126">
        <f>SUMIFS('DR IN BANK'!$I:$I,'DR IN BANK'!$A:$A,"="&amp;J39)</f>
        <v>0</v>
      </c>
      <c r="M39" s="108">
        <f>COUNTIF('CR IN BANK'!$A:$A,"="&amp;J39)</f>
        <v>0</v>
      </c>
      <c r="N39" s="126">
        <f>SUMIFS('CR IN BANK'!$Q:$Q,'CR IN BANK'!$A:$A,"="&amp;J39)</f>
        <v>0</v>
      </c>
      <c r="O39" s="108">
        <f>COUNTIFS('DR IN LEDGER'!$A:$A,"="&amp;J39)</f>
        <v>0</v>
      </c>
      <c r="P39" s="126">
        <f>SUMIFS('DR IN LEDGER'!$Q:$Q,'DR IN LEDGER'!A:A,"="&amp;J39,'DR IN LEDGER'!$R:$R,"Dr")</f>
        <v>0</v>
      </c>
      <c r="Q39" s="108">
        <f t="shared" si="5"/>
        <v>0</v>
      </c>
      <c r="R39" s="108">
        <f t="shared" si="5"/>
        <v>0</v>
      </c>
      <c r="S39" s="125">
        <f t="shared" si="6"/>
        <v>0</v>
      </c>
      <c r="T39" s="126">
        <f t="shared" si="7"/>
        <v>0</v>
      </c>
      <c r="AP39" s="42"/>
      <c r="AR39" s="42"/>
    </row>
    <row r="40" spans="10:44" ht="12.75" customHeight="1" x14ac:dyDescent="0.2">
      <c r="J40" s="52" t="s">
        <v>57</v>
      </c>
      <c r="K40" s="108">
        <f>COUNTIF('DR IN BANK'!$A:$A,"="&amp;J40)</f>
        <v>0</v>
      </c>
      <c r="L40" s="126">
        <f>SUMIFS('DR IN BANK'!$I:$I,'DR IN BANK'!$A:$A,"="&amp;J40)</f>
        <v>0</v>
      </c>
      <c r="M40" s="108">
        <f>COUNTIF('CR IN BANK'!$A:$A,"="&amp;J40)</f>
        <v>0</v>
      </c>
      <c r="N40" s="126">
        <f>SUMIFS('CR IN BANK'!$Q:$Q,'CR IN BANK'!$A:$A,"="&amp;J40)</f>
        <v>0</v>
      </c>
      <c r="O40" s="108">
        <f>COUNTIFS('DR IN LEDGER'!$A:$A,"="&amp;J40)</f>
        <v>0</v>
      </c>
      <c r="P40" s="126">
        <f>SUMIFS('DR IN LEDGER'!$Q:$Q,'DR IN LEDGER'!A:A,"="&amp;J40,'DR IN LEDGER'!$R:$R,"Dr")</f>
        <v>0</v>
      </c>
      <c r="Q40" s="108">
        <f t="shared" si="5"/>
        <v>0</v>
      </c>
      <c r="R40" s="108">
        <f t="shared" si="5"/>
        <v>0</v>
      </c>
      <c r="S40" s="125">
        <f t="shared" si="6"/>
        <v>0</v>
      </c>
      <c r="T40" s="126">
        <f t="shared" si="7"/>
        <v>0</v>
      </c>
      <c r="AP40" s="42"/>
      <c r="AR40" s="42"/>
    </row>
    <row r="41" spans="10:44" x14ac:dyDescent="0.2">
      <c r="J41" s="52" t="s">
        <v>58</v>
      </c>
      <c r="K41" s="108">
        <f>COUNTIF('DR IN BANK'!$A:$A,"="&amp;J41)</f>
        <v>0</v>
      </c>
      <c r="L41" s="126">
        <f>SUMIFS('DR IN BANK'!$I:$I,'DR IN BANK'!$A:$A,"="&amp;J41)</f>
        <v>0</v>
      </c>
      <c r="M41" s="108">
        <f>COUNTIF('CR IN BANK'!$A:$A,"="&amp;J41)</f>
        <v>0</v>
      </c>
      <c r="N41" s="126">
        <f>SUMIFS('CR IN BANK'!$Q:$Q,'CR IN BANK'!$A:$A,"="&amp;J41)</f>
        <v>0</v>
      </c>
      <c r="O41" s="108">
        <f>COUNTIFS('DR IN LEDGER'!$A:$A,"="&amp;J41)</f>
        <v>0</v>
      </c>
      <c r="P41" s="126">
        <f>SUMIFS('DR IN LEDGER'!$Q:$Q,'DR IN LEDGER'!A:A,"="&amp;J41,'DR IN LEDGER'!$R:$R,"Dr")</f>
        <v>0</v>
      </c>
      <c r="Q41" s="108">
        <f t="shared" si="5"/>
        <v>0</v>
      </c>
      <c r="R41" s="108">
        <f t="shared" si="5"/>
        <v>0</v>
      </c>
      <c r="S41" s="125">
        <f t="shared" si="6"/>
        <v>0</v>
      </c>
      <c r="T41" s="126">
        <f t="shared" si="7"/>
        <v>0</v>
      </c>
      <c r="AL41" s="41"/>
      <c r="AN41" s="42"/>
      <c r="AP41" s="42"/>
      <c r="AR41" s="42"/>
    </row>
    <row r="42" spans="10:44" x14ac:dyDescent="0.2">
      <c r="J42" s="52" t="s">
        <v>59</v>
      </c>
      <c r="K42" s="108">
        <f>COUNTIF('DR IN BANK'!$A:$A,"="&amp;J42)</f>
        <v>0</v>
      </c>
      <c r="L42" s="126">
        <f>SUMIFS('DR IN BANK'!$I:$I,'DR IN BANK'!$A:$A,"="&amp;J42)</f>
        <v>0</v>
      </c>
      <c r="M42" s="108">
        <f>COUNTIF('CR IN BANK'!$A:$A,"="&amp;J42)</f>
        <v>0</v>
      </c>
      <c r="N42" s="126">
        <f>SUMIFS('CR IN BANK'!$Q:$Q,'CR IN BANK'!$A:$A,"="&amp;J42)</f>
        <v>0</v>
      </c>
      <c r="O42" s="108">
        <f>COUNTIFS('DR IN LEDGER'!$A:$A,"="&amp;J42)</f>
        <v>0</v>
      </c>
      <c r="P42" s="126">
        <f>SUMIFS('DR IN LEDGER'!$Q:$Q,'DR IN LEDGER'!A:A,"="&amp;J42,'DR IN LEDGER'!$R:$R,"Dr")</f>
        <v>0</v>
      </c>
      <c r="Q42" s="108">
        <f t="shared" si="5"/>
        <v>0</v>
      </c>
      <c r="R42" s="108">
        <f t="shared" si="5"/>
        <v>0</v>
      </c>
      <c r="S42" s="125">
        <f t="shared" si="6"/>
        <v>0</v>
      </c>
      <c r="T42" s="126">
        <f t="shared" si="7"/>
        <v>0</v>
      </c>
      <c r="AL42" s="41"/>
      <c r="AN42" s="42"/>
      <c r="AP42" s="42"/>
      <c r="AR42" s="42"/>
    </row>
    <row r="43" spans="10:44" x14ac:dyDescent="0.2">
      <c r="J43" s="52" t="s">
        <v>60</v>
      </c>
      <c r="K43" s="108">
        <f>COUNTIF('DR IN BANK'!$A:$A,"="&amp;J43)</f>
        <v>0</v>
      </c>
      <c r="L43" s="126">
        <f>SUMIFS('DR IN BANK'!$I:$I,'DR IN BANK'!$A:$A,"="&amp;J43)</f>
        <v>0</v>
      </c>
      <c r="M43" s="108">
        <f>COUNTIF('CR IN BANK'!$A:$A,"="&amp;J43)</f>
        <v>0</v>
      </c>
      <c r="N43" s="126">
        <f>SUMIFS('CR IN BANK'!$Q:$Q,'CR IN BANK'!$A:$A,"="&amp;J43)</f>
        <v>0</v>
      </c>
      <c r="O43" s="108">
        <f>COUNTIFS('DR IN LEDGER'!$A:$A,"="&amp;J43)</f>
        <v>0</v>
      </c>
      <c r="P43" s="126">
        <f>SUMIFS('DR IN LEDGER'!$Q:$Q,'DR IN LEDGER'!A:A,"="&amp;J43,'DR IN LEDGER'!$R:$R,"Dr")</f>
        <v>0</v>
      </c>
      <c r="Q43" s="108">
        <f t="shared" si="5"/>
        <v>0</v>
      </c>
      <c r="R43" s="108">
        <f t="shared" si="5"/>
        <v>0</v>
      </c>
      <c r="S43" s="125">
        <f t="shared" si="6"/>
        <v>0</v>
      </c>
      <c r="T43" s="126">
        <f t="shared" si="7"/>
        <v>0</v>
      </c>
      <c r="AL43" s="41"/>
      <c r="AN43" s="42"/>
      <c r="AP43" s="42"/>
      <c r="AR43" s="42"/>
    </row>
    <row r="44" spans="10:44" x14ac:dyDescent="0.2">
      <c r="J44" s="75" t="s">
        <v>61</v>
      </c>
      <c r="K44" s="108">
        <f>COUNTIF('DR IN BANK'!$A:$A,"="&amp;J44)</f>
        <v>0</v>
      </c>
      <c r="L44" s="126">
        <f>SUMIFS('DR IN BANK'!$I:$I,'DR IN BANK'!$A:$A,"="&amp;J44)</f>
        <v>0</v>
      </c>
      <c r="M44" s="108">
        <f>COUNTIF('CR IN BANK'!$A:$A,"="&amp;J44)</f>
        <v>0</v>
      </c>
      <c r="N44" s="126">
        <f>SUMIFS('CR IN BANK'!$Q:$Q,'CR IN BANK'!$A:$A,"="&amp;J44)</f>
        <v>0</v>
      </c>
      <c r="O44" s="108">
        <f>COUNTIFS('DR IN LEDGER'!$A:$A,"="&amp;J44)</f>
        <v>0</v>
      </c>
      <c r="P44" s="126">
        <f>SUMIFS('DR IN LEDGER'!$Q:$Q,'DR IN LEDGER'!A:A,"="&amp;J44,'DR IN LEDGER'!$R:$R,"Dr")</f>
        <v>0</v>
      </c>
      <c r="Q44" s="108">
        <f t="shared" si="5"/>
        <v>0</v>
      </c>
      <c r="R44" s="108">
        <f t="shared" si="5"/>
        <v>0</v>
      </c>
      <c r="S44" s="125">
        <f t="shared" si="6"/>
        <v>0</v>
      </c>
      <c r="T44" s="126">
        <f t="shared" si="7"/>
        <v>0</v>
      </c>
      <c r="AD44" s="65"/>
    </row>
    <row r="45" spans="10:44" x14ac:dyDescent="0.2">
      <c r="J45" s="75" t="s">
        <v>62</v>
      </c>
      <c r="K45" s="108">
        <f>COUNTIF('DR IN BANK'!$A:$A,"="&amp;J45)</f>
        <v>0</v>
      </c>
      <c r="L45" s="126">
        <f>SUMIFS('DR IN BANK'!$I:$I,'DR IN BANK'!$A:$A,"="&amp;J45)</f>
        <v>0</v>
      </c>
      <c r="M45" s="108">
        <f>COUNTIF('CR IN BANK'!$A:$A,"="&amp;J45)</f>
        <v>0</v>
      </c>
      <c r="N45" s="126">
        <f>SUMIFS('CR IN BANK'!$Q:$Q,'CR IN BANK'!$A:$A,"="&amp;J45)</f>
        <v>0</v>
      </c>
      <c r="O45" s="108">
        <f>COUNTIFS('DR IN LEDGER'!$A:$A,"="&amp;J45)</f>
        <v>0</v>
      </c>
      <c r="P45" s="126">
        <f>SUMIFS('DR IN LEDGER'!$Q:$Q,'DR IN LEDGER'!A:A,"="&amp;J45,'DR IN LEDGER'!$R:$R,"Dr")</f>
        <v>0</v>
      </c>
      <c r="Q45" s="108">
        <f t="shared" si="5"/>
        <v>0</v>
      </c>
      <c r="R45" s="108">
        <f t="shared" si="5"/>
        <v>0</v>
      </c>
      <c r="S45" s="125">
        <f t="shared" si="6"/>
        <v>0</v>
      </c>
      <c r="T45" s="126">
        <f t="shared" si="7"/>
        <v>0</v>
      </c>
    </row>
    <row r="46" spans="10:44" x14ac:dyDescent="0.2">
      <c r="J46" s="52" t="s">
        <v>63</v>
      </c>
      <c r="K46" s="108">
        <f>COUNTIF('DR IN BANK'!$A:$A,"="&amp;J46)</f>
        <v>0</v>
      </c>
      <c r="L46" s="126">
        <f>SUMIFS('DR IN BANK'!$I:$I,'DR IN BANK'!$A:$A,"="&amp;J46)</f>
        <v>0</v>
      </c>
      <c r="M46" s="108">
        <f>COUNTIF('CR IN BANK'!$A:$A,"="&amp;J46)</f>
        <v>0</v>
      </c>
      <c r="N46" s="126">
        <f>SUMIFS('CR IN BANK'!$Q:$Q,'CR IN BANK'!$A:$A,"="&amp;J46)</f>
        <v>0</v>
      </c>
      <c r="O46" s="108">
        <f>COUNTIFS('DR IN LEDGER'!$A:$A,"="&amp;J46)</f>
        <v>0</v>
      </c>
      <c r="P46" s="126">
        <f>SUMIFS('DR IN LEDGER'!$Q:$Q,'DR IN LEDGER'!A:A,"="&amp;J46,'DR IN LEDGER'!$R:$R,"Dr")</f>
        <v>0</v>
      </c>
      <c r="Q46" s="108">
        <f t="shared" si="5"/>
        <v>0</v>
      </c>
      <c r="R46" s="108">
        <f t="shared" si="5"/>
        <v>0</v>
      </c>
      <c r="S46" s="125">
        <f t="shared" si="6"/>
        <v>0</v>
      </c>
      <c r="T46" s="126">
        <f t="shared" si="7"/>
        <v>0</v>
      </c>
    </row>
    <row r="47" spans="10:44" x14ac:dyDescent="0.25">
      <c r="J47" s="67" t="s">
        <v>43</v>
      </c>
      <c r="K47" s="187">
        <f t="shared" ref="K47:T47" si="8">SUM(K38:K46)</f>
        <v>0</v>
      </c>
      <c r="L47" s="61">
        <f t="shared" si="8"/>
        <v>0</v>
      </c>
      <c r="M47" s="187">
        <f t="shared" si="8"/>
        <v>0</v>
      </c>
      <c r="N47" s="61">
        <f t="shared" si="8"/>
        <v>0</v>
      </c>
      <c r="O47" s="187">
        <f t="shared" si="8"/>
        <v>0</v>
      </c>
      <c r="P47" s="61">
        <f t="shared" si="8"/>
        <v>0</v>
      </c>
      <c r="Q47" s="187">
        <f t="shared" si="8"/>
        <v>0</v>
      </c>
      <c r="R47" s="61">
        <f t="shared" si="8"/>
        <v>0</v>
      </c>
      <c r="S47" s="63">
        <f t="shared" si="8"/>
        <v>0</v>
      </c>
      <c r="T47" s="61">
        <f t="shared" si="8"/>
        <v>0</v>
      </c>
    </row>
    <row r="60" ht="12.75" customHeight="1" x14ac:dyDescent="0.25"/>
    <row r="65" spans="3:6" x14ac:dyDescent="0.25">
      <c r="C65" s="53"/>
      <c r="D65" s="53"/>
      <c r="E65" s="53"/>
      <c r="F65" s="53"/>
    </row>
    <row r="66" spans="3:6" x14ac:dyDescent="0.25">
      <c r="C66" s="53"/>
      <c r="D66" s="53"/>
      <c r="E66" s="53"/>
      <c r="F66" s="53"/>
    </row>
    <row r="67" spans="3:6" x14ac:dyDescent="0.25">
      <c r="C67" s="53"/>
      <c r="D67" s="53"/>
      <c r="E67" s="53"/>
      <c r="F67" s="53"/>
    </row>
    <row r="68" spans="3:6" x14ac:dyDescent="0.25">
      <c r="C68" s="53"/>
      <c r="D68" s="53"/>
      <c r="E68" s="53"/>
      <c r="F68" s="53"/>
    </row>
  </sheetData>
  <mergeCells count="24">
    <mergeCell ref="B2:B4"/>
    <mergeCell ref="S36:S37"/>
    <mergeCell ref="K22:N22"/>
    <mergeCell ref="M23:N23"/>
    <mergeCell ref="C3:C4"/>
    <mergeCell ref="O23:P23"/>
    <mergeCell ref="K4:L4"/>
    <mergeCell ref="M4:N4"/>
    <mergeCell ref="T4:T5"/>
    <mergeCell ref="K36:L36"/>
    <mergeCell ref="O36:P36"/>
    <mergeCell ref="S23:S24"/>
    <mergeCell ref="D2:E2"/>
    <mergeCell ref="Q23:R23"/>
    <mergeCell ref="J36:J37"/>
    <mergeCell ref="O4:P4"/>
    <mergeCell ref="Q4:R4"/>
    <mergeCell ref="J35:T35"/>
    <mergeCell ref="M36:N36"/>
    <mergeCell ref="S4:S5"/>
    <mergeCell ref="T23:T24"/>
    <mergeCell ref="Q36:R36"/>
    <mergeCell ref="K23:L23"/>
    <mergeCell ref="T36:T3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12"/>
  <sheetViews>
    <sheetView zoomScaleNormal="100" workbookViewId="0"/>
  </sheetViews>
  <sheetFormatPr defaultColWidth="9.140625" defaultRowHeight="12" x14ac:dyDescent="0.2"/>
  <cols>
    <col min="1" max="1" width="9.140625" style="18" customWidth="1"/>
    <col min="2" max="2" width="13.42578125" style="18" bestFit="1" customWidth="1"/>
    <col min="3" max="3" width="8.85546875" style="18" bestFit="1" customWidth="1"/>
    <col min="4" max="4" width="14.42578125" style="18" customWidth="1"/>
    <col min="5" max="7" width="12.7109375" style="18" bestFit="1" customWidth="1"/>
    <col min="8" max="8" width="14.28515625" style="18" customWidth="1"/>
    <col min="9" max="10" width="12.7109375" style="18" bestFit="1" customWidth="1"/>
    <col min="11" max="11" width="12.85546875" style="18" bestFit="1" customWidth="1"/>
    <col min="12" max="12" width="14.7109375" style="18" bestFit="1" customWidth="1"/>
    <col min="13" max="14" width="9.140625" style="18" customWidth="1"/>
    <col min="15" max="16384" width="9.140625" style="18"/>
  </cols>
  <sheetData>
    <row r="1" spans="2:26" ht="12.75" customHeight="1" x14ac:dyDescent="0.2">
      <c r="W1" s="112" t="s">
        <v>64</v>
      </c>
      <c r="X1" s="14" t="s">
        <v>65</v>
      </c>
      <c r="Y1" s="14" t="s">
        <v>65</v>
      </c>
      <c r="Z1" s="9" t="s">
        <v>66</v>
      </c>
    </row>
    <row r="2" spans="2:26" ht="12.75" customHeight="1" x14ac:dyDescent="0.2">
      <c r="B2" s="15">
        <f>'TOP SHEET'!J3</f>
        <v>45336</v>
      </c>
      <c r="C2" s="16"/>
      <c r="D2" s="17"/>
      <c r="E2" s="16"/>
      <c r="F2" s="17"/>
      <c r="G2" s="16"/>
      <c r="H2" s="17"/>
      <c r="I2" s="16"/>
      <c r="J2" s="17"/>
      <c r="K2" s="16"/>
      <c r="L2" s="16"/>
      <c r="W2" s="112" t="s">
        <v>64</v>
      </c>
      <c r="X2" s="14" t="s">
        <v>67</v>
      </c>
      <c r="Y2" s="14" t="s">
        <v>67</v>
      </c>
      <c r="Z2" s="9" t="s">
        <v>68</v>
      </c>
    </row>
    <row r="3" spans="2:26" ht="12.75" customHeight="1" x14ac:dyDescent="0.25">
      <c r="B3" s="19" t="s">
        <v>16</v>
      </c>
      <c r="C3" s="242" t="s">
        <v>17</v>
      </c>
      <c r="D3" s="226"/>
      <c r="E3" s="242" t="s">
        <v>3</v>
      </c>
      <c r="F3" s="226"/>
      <c r="G3" s="242" t="s">
        <v>18</v>
      </c>
      <c r="H3" s="226"/>
      <c r="I3" s="242" t="s">
        <v>4</v>
      </c>
      <c r="J3" s="226"/>
      <c r="K3" s="238" t="s">
        <v>69</v>
      </c>
      <c r="L3" s="238" t="s">
        <v>70</v>
      </c>
      <c r="W3" s="112" t="s">
        <v>71</v>
      </c>
      <c r="X3" s="113" t="s">
        <v>72</v>
      </c>
      <c r="Y3" s="113" t="s">
        <v>72</v>
      </c>
      <c r="Z3" s="113" t="s">
        <v>66</v>
      </c>
    </row>
    <row r="4" spans="2:26" ht="12.75" customHeight="1" x14ac:dyDescent="0.2">
      <c r="B4" s="199">
        <f>'TOP SHEET'!J5</f>
        <v>45323</v>
      </c>
      <c r="C4" s="190" t="s">
        <v>21</v>
      </c>
      <c r="D4" s="20" t="s">
        <v>22</v>
      </c>
      <c r="E4" s="190" t="s">
        <v>21</v>
      </c>
      <c r="F4" s="20" t="s">
        <v>22</v>
      </c>
      <c r="G4" s="190" t="s">
        <v>21</v>
      </c>
      <c r="H4" s="20" t="s">
        <v>22</v>
      </c>
      <c r="I4" s="190" t="s">
        <v>21</v>
      </c>
      <c r="J4" s="20" t="s">
        <v>22</v>
      </c>
      <c r="K4" s="224"/>
      <c r="L4" s="224"/>
      <c r="N4" s="112"/>
      <c r="W4" s="112" t="s">
        <v>73</v>
      </c>
      <c r="X4" s="114" t="s">
        <v>74</v>
      </c>
      <c r="Y4" s="114" t="s">
        <v>74</v>
      </c>
      <c r="Z4" s="114" t="s">
        <v>66</v>
      </c>
    </row>
    <row r="5" spans="2:26" ht="12.75" customHeight="1" x14ac:dyDescent="0.2">
      <c r="B5" s="21" t="str">
        <f>'TOP SHEET'!J6</f>
        <v>Mar_2024</v>
      </c>
      <c r="C5" s="200">
        <f>'TOP SHEET'!K6</f>
        <v>0</v>
      </c>
      <c r="D5" s="22">
        <f>'TOP SHEET'!L6</f>
        <v>0</v>
      </c>
      <c r="E5" s="200">
        <f>'TOP SHEET'!M6</f>
        <v>0</v>
      </c>
      <c r="F5" s="22">
        <f>'TOP SHEET'!N6</f>
        <v>0</v>
      </c>
      <c r="G5" s="200">
        <f>'TOP SHEET'!O6</f>
        <v>0</v>
      </c>
      <c r="H5" s="22">
        <f>'TOP SHEET'!P6</f>
        <v>0</v>
      </c>
      <c r="I5" s="200">
        <f>'TOP SHEET'!Q6</f>
        <v>0</v>
      </c>
      <c r="J5" s="22">
        <f>'TOP SHEET'!R6</f>
        <v>0</v>
      </c>
      <c r="K5" s="23">
        <f t="shared" ref="K5:K14" si="0">C5+E5+G5+I5</f>
        <v>0</v>
      </c>
      <c r="L5" s="22">
        <f t="shared" ref="L5:L14" si="1">D5+F5+H5+J5</f>
        <v>0</v>
      </c>
      <c r="W5" s="112" t="s">
        <v>64</v>
      </c>
      <c r="X5" s="112" t="s">
        <v>75</v>
      </c>
      <c r="Y5" s="112" t="s">
        <v>75</v>
      </c>
      <c r="Z5" s="9" t="s">
        <v>68</v>
      </c>
    </row>
    <row r="6" spans="2:26" x14ac:dyDescent="0.2">
      <c r="B6" s="21" t="str">
        <f>'TOP SHEET'!J8</f>
        <v>Jan_2024</v>
      </c>
      <c r="C6" s="200">
        <f>'TOP SHEET'!K8</f>
        <v>0</v>
      </c>
      <c r="D6" s="22">
        <f>'TOP SHEET'!L8</f>
        <v>0</v>
      </c>
      <c r="E6" s="200">
        <f>'TOP SHEET'!M8</f>
        <v>0</v>
      </c>
      <c r="F6" s="22">
        <f>'TOP SHEET'!N8</f>
        <v>0</v>
      </c>
      <c r="G6" s="200">
        <f>'TOP SHEET'!O8</f>
        <v>0</v>
      </c>
      <c r="H6" s="22">
        <f>'TOP SHEET'!P8</f>
        <v>0</v>
      </c>
      <c r="I6" s="200">
        <f>'TOP SHEET'!Q8</f>
        <v>0</v>
      </c>
      <c r="J6" s="22">
        <f>'TOP SHEET'!R8</f>
        <v>0</v>
      </c>
      <c r="K6" s="23">
        <f t="shared" si="0"/>
        <v>0</v>
      </c>
      <c r="L6" s="22">
        <f t="shared" si="1"/>
        <v>0</v>
      </c>
      <c r="V6" s="112" t="s">
        <v>76</v>
      </c>
      <c r="W6" s="112" t="s">
        <v>77</v>
      </c>
    </row>
    <row r="7" spans="2:26" x14ac:dyDescent="0.2">
      <c r="B7" s="21" t="str">
        <f>'TOP SHEET'!J9</f>
        <v>Dec_2023</v>
      </c>
      <c r="C7" s="200">
        <f>'TOP SHEET'!K9</f>
        <v>0</v>
      </c>
      <c r="D7" s="22">
        <f>'TOP SHEET'!L9</f>
        <v>0</v>
      </c>
      <c r="E7" s="200">
        <f>'TOP SHEET'!M9</f>
        <v>0</v>
      </c>
      <c r="F7" s="22">
        <f>'TOP SHEET'!N9</f>
        <v>0</v>
      </c>
      <c r="G7" s="200">
        <f>'TOP SHEET'!O9</f>
        <v>0</v>
      </c>
      <c r="H7" s="22">
        <f>'TOP SHEET'!P9</f>
        <v>0</v>
      </c>
      <c r="I7" s="200">
        <f>'TOP SHEET'!Q9</f>
        <v>0</v>
      </c>
      <c r="J7" s="22">
        <f>'TOP SHEET'!R9</f>
        <v>0</v>
      </c>
      <c r="K7" s="23">
        <f t="shared" si="0"/>
        <v>0</v>
      </c>
      <c r="L7" s="22">
        <f t="shared" si="1"/>
        <v>0</v>
      </c>
      <c r="W7" s="112" t="s">
        <v>78</v>
      </c>
    </row>
    <row r="8" spans="2:26" x14ac:dyDescent="0.2">
      <c r="B8" s="21" t="str">
        <f>'TOP SHEET'!J10</f>
        <v>Nov_2023</v>
      </c>
      <c r="C8" s="200">
        <f>'TOP SHEET'!K10</f>
        <v>0</v>
      </c>
      <c r="D8" s="22">
        <f>'TOP SHEET'!L10</f>
        <v>0</v>
      </c>
      <c r="E8" s="200">
        <f>'TOP SHEET'!M10</f>
        <v>0</v>
      </c>
      <c r="F8" s="22">
        <f>'TOP SHEET'!N10</f>
        <v>0</v>
      </c>
      <c r="G8" s="200">
        <f>'TOP SHEET'!O10</f>
        <v>0</v>
      </c>
      <c r="H8" s="22">
        <f>'TOP SHEET'!P10</f>
        <v>0</v>
      </c>
      <c r="I8" s="200">
        <f>'TOP SHEET'!Q10</f>
        <v>0</v>
      </c>
      <c r="J8" s="22">
        <f>'TOP SHEET'!R10</f>
        <v>0</v>
      </c>
      <c r="K8" s="23">
        <f t="shared" si="0"/>
        <v>0</v>
      </c>
      <c r="L8" s="22">
        <f t="shared" si="1"/>
        <v>0</v>
      </c>
    </row>
    <row r="9" spans="2:26" x14ac:dyDescent="0.2">
      <c r="B9" s="21" t="str">
        <f>'TOP SHEET'!J11</f>
        <v>Oct_2023</v>
      </c>
      <c r="C9" s="200">
        <f>'TOP SHEET'!K11</f>
        <v>0</v>
      </c>
      <c r="D9" s="22">
        <f>'TOP SHEET'!L11</f>
        <v>0</v>
      </c>
      <c r="E9" s="200">
        <f>'TOP SHEET'!M11</f>
        <v>0</v>
      </c>
      <c r="F9" s="22">
        <f>'TOP SHEET'!N11</f>
        <v>0</v>
      </c>
      <c r="G9" s="200">
        <f>'TOP SHEET'!O11</f>
        <v>0</v>
      </c>
      <c r="H9" s="22">
        <f>'TOP SHEET'!P11</f>
        <v>0</v>
      </c>
      <c r="I9" s="200">
        <f>'TOP SHEET'!Q11</f>
        <v>0</v>
      </c>
      <c r="J9" s="22">
        <f>'TOP SHEET'!R11</f>
        <v>0</v>
      </c>
      <c r="K9" s="23">
        <f t="shared" si="0"/>
        <v>0</v>
      </c>
      <c r="L9" s="22">
        <f t="shared" si="1"/>
        <v>0</v>
      </c>
    </row>
    <row r="10" spans="2:26" x14ac:dyDescent="0.2">
      <c r="B10" s="21" t="str">
        <f>'TOP SHEET'!J12</f>
        <v>Sep_2023</v>
      </c>
      <c r="C10" s="200">
        <f>'TOP SHEET'!K12</f>
        <v>0</v>
      </c>
      <c r="D10" s="22">
        <f>'TOP SHEET'!L12</f>
        <v>0</v>
      </c>
      <c r="E10" s="200">
        <f>'TOP SHEET'!M12</f>
        <v>0</v>
      </c>
      <c r="F10" s="22">
        <f>'TOP SHEET'!N12</f>
        <v>0</v>
      </c>
      <c r="G10" s="200">
        <f>'TOP SHEET'!O12</f>
        <v>0</v>
      </c>
      <c r="H10" s="22">
        <f>'TOP SHEET'!P12</f>
        <v>0</v>
      </c>
      <c r="I10" s="200">
        <f>'TOP SHEET'!Q12</f>
        <v>0</v>
      </c>
      <c r="J10" s="22">
        <f>'TOP SHEET'!R12</f>
        <v>0</v>
      </c>
      <c r="K10" s="23">
        <f t="shared" si="0"/>
        <v>0</v>
      </c>
      <c r="L10" s="22">
        <f t="shared" si="1"/>
        <v>0</v>
      </c>
    </row>
    <row r="11" spans="2:26" x14ac:dyDescent="0.2">
      <c r="B11" s="21" t="str">
        <f>'TOP SHEET'!J13</f>
        <v>Aug_2023</v>
      </c>
      <c r="C11" s="200">
        <f>'TOP SHEET'!K13</f>
        <v>0</v>
      </c>
      <c r="D11" s="22">
        <f>'TOP SHEET'!L13</f>
        <v>0</v>
      </c>
      <c r="E11" s="200">
        <f>'TOP SHEET'!M13</f>
        <v>0</v>
      </c>
      <c r="F11" s="22">
        <f>'TOP SHEET'!N13</f>
        <v>0</v>
      </c>
      <c r="G11" s="200">
        <f>'TOP SHEET'!O13</f>
        <v>0</v>
      </c>
      <c r="H11" s="22">
        <f>'TOP SHEET'!P13</f>
        <v>0</v>
      </c>
      <c r="I11" s="200">
        <f>'TOP SHEET'!Q13</f>
        <v>0</v>
      </c>
      <c r="J11" s="22">
        <f>'TOP SHEET'!R13</f>
        <v>0</v>
      </c>
      <c r="K11" s="23">
        <f t="shared" si="0"/>
        <v>0</v>
      </c>
      <c r="L11" s="22">
        <f t="shared" si="1"/>
        <v>0</v>
      </c>
    </row>
    <row r="12" spans="2:26" x14ac:dyDescent="0.2">
      <c r="B12" s="21" t="str">
        <f>'TOP SHEET'!J14</f>
        <v>Jul_2023</v>
      </c>
      <c r="C12" s="200">
        <f>'TOP SHEET'!K14</f>
        <v>0</v>
      </c>
      <c r="D12" s="22">
        <f>'TOP SHEET'!L14</f>
        <v>0</v>
      </c>
      <c r="E12" s="200">
        <f>'TOP SHEET'!M14</f>
        <v>0</v>
      </c>
      <c r="F12" s="22">
        <f>'TOP SHEET'!N14</f>
        <v>0</v>
      </c>
      <c r="G12" s="200">
        <f>'TOP SHEET'!O14</f>
        <v>0</v>
      </c>
      <c r="H12" s="22">
        <f>'TOP SHEET'!P14</f>
        <v>0</v>
      </c>
      <c r="I12" s="200">
        <f>'TOP SHEET'!Q14</f>
        <v>0</v>
      </c>
      <c r="J12" s="22">
        <f>'TOP SHEET'!R14</f>
        <v>0</v>
      </c>
      <c r="K12" s="23">
        <f t="shared" si="0"/>
        <v>0</v>
      </c>
      <c r="L12" s="22">
        <f t="shared" si="1"/>
        <v>0</v>
      </c>
    </row>
    <row r="13" spans="2:26" x14ac:dyDescent="0.2">
      <c r="B13" s="21" t="str">
        <f>'TOP SHEET'!J15</f>
        <v>Jun_2023</v>
      </c>
      <c r="C13" s="200">
        <f>'TOP SHEET'!K15</f>
        <v>0</v>
      </c>
      <c r="D13" s="22">
        <f>'TOP SHEET'!L15</f>
        <v>0</v>
      </c>
      <c r="E13" s="200">
        <f>'TOP SHEET'!M15</f>
        <v>0</v>
      </c>
      <c r="F13" s="22">
        <f>'TOP SHEET'!N15</f>
        <v>0</v>
      </c>
      <c r="G13" s="200">
        <f>'TOP SHEET'!O15</f>
        <v>0</v>
      </c>
      <c r="H13" s="22">
        <f>'TOP SHEET'!P15</f>
        <v>0</v>
      </c>
      <c r="I13" s="200">
        <f>'TOP SHEET'!Q15</f>
        <v>0</v>
      </c>
      <c r="J13" s="22">
        <f>'TOP SHEET'!R15</f>
        <v>0</v>
      </c>
      <c r="K13" s="23">
        <f t="shared" si="0"/>
        <v>0</v>
      </c>
      <c r="L13" s="22">
        <f t="shared" si="1"/>
        <v>0</v>
      </c>
    </row>
    <row r="14" spans="2:26" x14ac:dyDescent="0.2">
      <c r="B14" s="21" t="str">
        <f>'TOP SHEET'!J16</f>
        <v>Apr_2023</v>
      </c>
      <c r="C14" s="200">
        <f>'TOP SHEET'!K16</f>
        <v>0</v>
      </c>
      <c r="D14" s="22">
        <f>'TOP SHEET'!L16</f>
        <v>0</v>
      </c>
      <c r="E14" s="200">
        <f>'TOP SHEET'!M16</f>
        <v>0</v>
      </c>
      <c r="F14" s="22">
        <f>'TOP SHEET'!N16</f>
        <v>0</v>
      </c>
      <c r="G14" s="200">
        <f>'TOP SHEET'!O16</f>
        <v>0</v>
      </c>
      <c r="H14" s="22">
        <f>'TOP SHEET'!P16</f>
        <v>0</v>
      </c>
      <c r="I14" s="200">
        <f>'TOP SHEET'!Q16</f>
        <v>0</v>
      </c>
      <c r="J14" s="22">
        <f>'TOP SHEET'!R16</f>
        <v>0</v>
      </c>
      <c r="K14" s="23">
        <f t="shared" si="0"/>
        <v>0</v>
      </c>
      <c r="L14" s="22">
        <f t="shared" si="1"/>
        <v>0</v>
      </c>
    </row>
    <row r="15" spans="2:26" x14ac:dyDescent="0.2">
      <c r="B15" s="19" t="s">
        <v>43</v>
      </c>
      <c r="C15" s="201">
        <f t="shared" ref="C15:L15" si="2">SUM(C5:C14)</f>
        <v>0</v>
      </c>
      <c r="D15" s="24">
        <f t="shared" si="2"/>
        <v>0</v>
      </c>
      <c r="E15" s="201">
        <f t="shared" si="2"/>
        <v>0</v>
      </c>
      <c r="F15" s="24">
        <f t="shared" si="2"/>
        <v>0</v>
      </c>
      <c r="G15" s="201">
        <f t="shared" si="2"/>
        <v>0</v>
      </c>
      <c r="H15" s="24">
        <f t="shared" si="2"/>
        <v>0</v>
      </c>
      <c r="I15" s="201">
        <f t="shared" si="2"/>
        <v>0</v>
      </c>
      <c r="J15" s="24">
        <f t="shared" si="2"/>
        <v>0</v>
      </c>
      <c r="K15" s="26">
        <f t="shared" si="2"/>
        <v>0</v>
      </c>
      <c r="L15" s="24">
        <f t="shared" si="2"/>
        <v>0</v>
      </c>
    </row>
    <row r="16" spans="2:26" x14ac:dyDescent="0.2">
      <c r="B16" s="27"/>
      <c r="C16" s="202"/>
      <c r="D16" s="202"/>
      <c r="E16" s="202"/>
      <c r="F16" s="202"/>
      <c r="G16" s="202"/>
      <c r="H16" s="202"/>
      <c r="I16" s="202"/>
      <c r="J16" s="202"/>
      <c r="K16" s="202"/>
      <c r="L16" s="202"/>
    </row>
    <row r="17" spans="2:13" x14ac:dyDescent="0.2">
      <c r="B17" s="28" t="str">
        <f>"Up to "&amp;MID(B6,1,3)&amp;" Total"</f>
        <v>Up to Jan Total</v>
      </c>
      <c r="C17" s="200">
        <f t="shared" ref="C17:L17" si="3">SUM(C6:C14)</f>
        <v>0</v>
      </c>
      <c r="D17" s="22">
        <f t="shared" si="3"/>
        <v>0</v>
      </c>
      <c r="E17" s="200">
        <f t="shared" si="3"/>
        <v>0</v>
      </c>
      <c r="F17" s="22">
        <f t="shared" si="3"/>
        <v>0</v>
      </c>
      <c r="G17" s="200">
        <f t="shared" si="3"/>
        <v>0</v>
      </c>
      <c r="H17" s="22">
        <f t="shared" si="3"/>
        <v>0</v>
      </c>
      <c r="I17" s="200">
        <f t="shared" si="3"/>
        <v>0</v>
      </c>
      <c r="J17" s="22">
        <f t="shared" si="3"/>
        <v>0</v>
      </c>
      <c r="K17" s="23">
        <f t="shared" si="3"/>
        <v>0</v>
      </c>
      <c r="L17" s="22">
        <f t="shared" si="3"/>
        <v>0</v>
      </c>
    </row>
    <row r="18" spans="2:13" x14ac:dyDescent="0.2">
      <c r="B18" s="28" t="str">
        <f>"Up to "&amp;MID(B7,1,3)&amp;" Total"</f>
        <v>Up to Dec Total</v>
      </c>
      <c r="C18" s="200">
        <f t="shared" ref="C18:L18" si="4">SUM(C7:C14)</f>
        <v>0</v>
      </c>
      <c r="D18" s="22">
        <f t="shared" si="4"/>
        <v>0</v>
      </c>
      <c r="E18" s="200">
        <f t="shared" si="4"/>
        <v>0</v>
      </c>
      <c r="F18" s="22">
        <f t="shared" si="4"/>
        <v>0</v>
      </c>
      <c r="G18" s="200">
        <f t="shared" si="4"/>
        <v>0</v>
      </c>
      <c r="H18" s="22">
        <f t="shared" si="4"/>
        <v>0</v>
      </c>
      <c r="I18" s="200">
        <f t="shared" si="4"/>
        <v>0</v>
      </c>
      <c r="J18" s="22">
        <f t="shared" si="4"/>
        <v>0</v>
      </c>
      <c r="K18" s="23">
        <f t="shared" si="4"/>
        <v>0</v>
      </c>
      <c r="L18" s="22">
        <f t="shared" si="4"/>
        <v>0</v>
      </c>
    </row>
    <row r="19" spans="2:13" x14ac:dyDescent="0.2">
      <c r="B19" s="28" t="str">
        <f>"Up to "&amp;MID(B8,1,3)&amp;" Total"</f>
        <v>Up to Nov Total</v>
      </c>
      <c r="C19" s="200">
        <f t="shared" ref="C19:L19" si="5">SUM(C8:C14)</f>
        <v>0</v>
      </c>
      <c r="D19" s="22">
        <f t="shared" si="5"/>
        <v>0</v>
      </c>
      <c r="E19" s="200">
        <f t="shared" si="5"/>
        <v>0</v>
      </c>
      <c r="F19" s="22">
        <f t="shared" si="5"/>
        <v>0</v>
      </c>
      <c r="G19" s="200">
        <f t="shared" si="5"/>
        <v>0</v>
      </c>
      <c r="H19" s="22">
        <f t="shared" si="5"/>
        <v>0</v>
      </c>
      <c r="I19" s="200">
        <f t="shared" si="5"/>
        <v>0</v>
      </c>
      <c r="J19" s="22">
        <f t="shared" si="5"/>
        <v>0</v>
      </c>
      <c r="K19" s="23">
        <f t="shared" si="5"/>
        <v>0</v>
      </c>
      <c r="L19" s="22">
        <f t="shared" si="5"/>
        <v>0</v>
      </c>
    </row>
    <row r="21" spans="2:13" x14ac:dyDescent="0.2">
      <c r="B21" s="15" t="s">
        <v>79</v>
      </c>
      <c r="C21" s="16"/>
      <c r="D21" s="17"/>
      <c r="E21" s="16"/>
      <c r="F21" s="17"/>
      <c r="G21" s="16"/>
      <c r="H21" s="17"/>
      <c r="I21" s="16"/>
      <c r="J21" s="17"/>
      <c r="K21" s="16"/>
      <c r="L21" s="16"/>
    </row>
    <row r="22" spans="2:13" ht="15" customHeight="1" x14ac:dyDescent="0.25">
      <c r="B22" s="19" t="s">
        <v>16</v>
      </c>
      <c r="C22" s="242" t="s">
        <v>17</v>
      </c>
      <c r="D22" s="226"/>
      <c r="E22" s="242" t="s">
        <v>3</v>
      </c>
      <c r="F22" s="226"/>
      <c r="G22" s="242" t="s">
        <v>18</v>
      </c>
      <c r="H22" s="226"/>
      <c r="I22" s="242" t="s">
        <v>4</v>
      </c>
      <c r="J22" s="226"/>
      <c r="K22" s="237" t="s">
        <v>19</v>
      </c>
      <c r="L22" s="237" t="s">
        <v>20</v>
      </c>
    </row>
    <row r="23" spans="2:13" x14ac:dyDescent="0.2">
      <c r="B23" s="199">
        <f>'TOP SHEET'!J5</f>
        <v>45323</v>
      </c>
      <c r="C23" s="190" t="s">
        <v>21</v>
      </c>
      <c r="D23" s="20" t="s">
        <v>22</v>
      </c>
      <c r="E23" s="190" t="s">
        <v>21</v>
      </c>
      <c r="F23" s="20" t="s">
        <v>22</v>
      </c>
      <c r="G23" s="190" t="s">
        <v>21</v>
      </c>
      <c r="H23" s="20" t="s">
        <v>22</v>
      </c>
      <c r="I23" s="190" t="s">
        <v>21</v>
      </c>
      <c r="J23" s="20" t="s">
        <v>22</v>
      </c>
      <c r="K23" s="224"/>
      <c r="L23" s="224"/>
    </row>
    <row r="24" spans="2:13" x14ac:dyDescent="0.2">
      <c r="B24" s="21" t="str">
        <f t="shared" ref="B24:B33" si="6">B5</f>
        <v>Mar_2024</v>
      </c>
      <c r="C24" s="200">
        <v>0</v>
      </c>
      <c r="D24" s="22">
        <v>0</v>
      </c>
      <c r="E24" s="200">
        <v>9</v>
      </c>
      <c r="F24" s="22">
        <v>2146080</v>
      </c>
      <c r="G24" s="200">
        <v>2</v>
      </c>
      <c r="H24" s="22">
        <v>62516</v>
      </c>
      <c r="I24" s="200">
        <v>2</v>
      </c>
      <c r="J24" s="22">
        <v>35959</v>
      </c>
      <c r="K24" s="23">
        <v>13</v>
      </c>
      <c r="L24" s="22">
        <v>2244555</v>
      </c>
    </row>
    <row r="25" spans="2:13" x14ac:dyDescent="0.2">
      <c r="B25" s="21" t="str">
        <f t="shared" si="6"/>
        <v>Jan_2024</v>
      </c>
      <c r="C25" s="200">
        <v>0</v>
      </c>
      <c r="D25" s="22">
        <v>0</v>
      </c>
      <c r="E25" s="200">
        <v>3</v>
      </c>
      <c r="F25" s="22">
        <v>74442</v>
      </c>
      <c r="G25" s="200">
        <v>0</v>
      </c>
      <c r="H25" s="22">
        <v>0</v>
      </c>
      <c r="I25" s="200">
        <v>0</v>
      </c>
      <c r="J25" s="22">
        <v>0</v>
      </c>
      <c r="K25" s="23">
        <v>3</v>
      </c>
      <c r="L25" s="22">
        <v>74442</v>
      </c>
    </row>
    <row r="26" spans="2:13" x14ac:dyDescent="0.2">
      <c r="B26" s="21" t="str">
        <f t="shared" si="6"/>
        <v>Dec_2023</v>
      </c>
      <c r="C26" s="200">
        <v>0</v>
      </c>
      <c r="D26" s="22">
        <v>0</v>
      </c>
      <c r="E26" s="200">
        <v>1</v>
      </c>
      <c r="F26" s="22">
        <v>6398</v>
      </c>
      <c r="G26" s="200">
        <v>0</v>
      </c>
      <c r="H26" s="22">
        <v>0</v>
      </c>
      <c r="I26" s="200">
        <v>0</v>
      </c>
      <c r="J26" s="22">
        <v>0</v>
      </c>
      <c r="K26" s="23">
        <v>1</v>
      </c>
      <c r="L26" s="22">
        <v>6398</v>
      </c>
      <c r="M26" s="77"/>
    </row>
    <row r="27" spans="2:13" x14ac:dyDescent="0.2">
      <c r="B27" s="21" t="str">
        <f t="shared" si="6"/>
        <v>Nov_2023</v>
      </c>
      <c r="C27" s="200">
        <v>0</v>
      </c>
      <c r="D27" s="22">
        <v>0</v>
      </c>
      <c r="E27" s="200">
        <v>1</v>
      </c>
      <c r="F27" s="22">
        <v>12086</v>
      </c>
      <c r="G27" s="200">
        <v>0</v>
      </c>
      <c r="H27" s="22">
        <v>0</v>
      </c>
      <c r="I27" s="200">
        <v>0</v>
      </c>
      <c r="J27" s="22">
        <v>0</v>
      </c>
      <c r="K27" s="23">
        <v>1</v>
      </c>
      <c r="L27" s="22">
        <v>12086</v>
      </c>
    </row>
    <row r="28" spans="2:13" x14ac:dyDescent="0.2">
      <c r="B28" s="21" t="str">
        <f t="shared" si="6"/>
        <v>Oct_2023</v>
      </c>
      <c r="C28" s="200">
        <v>0</v>
      </c>
      <c r="D28" s="22">
        <v>0</v>
      </c>
      <c r="E28" s="200">
        <v>0</v>
      </c>
      <c r="F28" s="22">
        <v>0</v>
      </c>
      <c r="G28" s="200">
        <v>0</v>
      </c>
      <c r="H28" s="22">
        <v>0</v>
      </c>
      <c r="I28" s="200">
        <v>0</v>
      </c>
      <c r="J28" s="22">
        <v>0</v>
      </c>
      <c r="K28" s="23">
        <v>0</v>
      </c>
      <c r="L28" s="22">
        <v>0</v>
      </c>
    </row>
    <row r="29" spans="2:13" x14ac:dyDescent="0.2">
      <c r="B29" s="21" t="str">
        <f t="shared" si="6"/>
        <v>Sep_2023</v>
      </c>
      <c r="C29" s="200">
        <v>0</v>
      </c>
      <c r="D29" s="22">
        <v>0</v>
      </c>
      <c r="E29" s="200">
        <v>0</v>
      </c>
      <c r="F29" s="22">
        <v>0</v>
      </c>
      <c r="G29" s="200">
        <v>0</v>
      </c>
      <c r="H29" s="22">
        <v>0</v>
      </c>
      <c r="I29" s="200">
        <v>0</v>
      </c>
      <c r="J29" s="22">
        <v>0</v>
      </c>
      <c r="K29" s="23">
        <v>0</v>
      </c>
      <c r="L29" s="22">
        <v>0</v>
      </c>
      <c r="M29" s="77"/>
    </row>
    <row r="30" spans="2:13" x14ac:dyDescent="0.2">
      <c r="B30" s="21" t="str">
        <f t="shared" si="6"/>
        <v>Aug_2023</v>
      </c>
      <c r="C30" s="200">
        <v>0</v>
      </c>
      <c r="D30" s="22">
        <v>0</v>
      </c>
      <c r="E30" s="200">
        <v>0</v>
      </c>
      <c r="F30" s="22">
        <v>0</v>
      </c>
      <c r="G30" s="200">
        <v>0</v>
      </c>
      <c r="H30" s="22">
        <v>0</v>
      </c>
      <c r="I30" s="200">
        <v>0</v>
      </c>
      <c r="J30" s="22">
        <v>0</v>
      </c>
      <c r="K30" s="23">
        <v>0</v>
      </c>
      <c r="L30" s="22">
        <v>0</v>
      </c>
    </row>
    <row r="31" spans="2:13" x14ac:dyDescent="0.2">
      <c r="B31" s="21" t="str">
        <f t="shared" si="6"/>
        <v>Jul_2023</v>
      </c>
      <c r="C31" s="200">
        <v>0</v>
      </c>
      <c r="D31" s="22">
        <v>0</v>
      </c>
      <c r="E31" s="200">
        <v>0</v>
      </c>
      <c r="F31" s="22">
        <v>0</v>
      </c>
      <c r="G31" s="200">
        <v>0</v>
      </c>
      <c r="H31" s="22">
        <v>0</v>
      </c>
      <c r="I31" s="200">
        <v>0</v>
      </c>
      <c r="J31" s="22">
        <v>0</v>
      </c>
      <c r="K31" s="23">
        <v>0</v>
      </c>
      <c r="L31" s="22">
        <v>0</v>
      </c>
    </row>
    <row r="32" spans="2:13" x14ac:dyDescent="0.2">
      <c r="B32" s="21" t="str">
        <f t="shared" si="6"/>
        <v>Jun_2023</v>
      </c>
      <c r="C32" s="200">
        <v>0</v>
      </c>
      <c r="D32" s="22">
        <v>0</v>
      </c>
      <c r="E32" s="200">
        <v>0</v>
      </c>
      <c r="F32" s="22">
        <v>0</v>
      </c>
      <c r="G32" s="200">
        <v>0</v>
      </c>
      <c r="H32" s="22">
        <v>0</v>
      </c>
      <c r="I32" s="200">
        <v>0</v>
      </c>
      <c r="J32" s="22">
        <v>0</v>
      </c>
      <c r="K32" s="23">
        <v>0</v>
      </c>
      <c r="L32" s="22">
        <v>0</v>
      </c>
      <c r="M32" s="77"/>
    </row>
    <row r="33" spans="2:13" x14ac:dyDescent="0.2">
      <c r="B33" s="21" t="str">
        <f t="shared" si="6"/>
        <v>Apr_2023</v>
      </c>
      <c r="C33" s="200">
        <v>0</v>
      </c>
      <c r="D33" s="22">
        <v>0</v>
      </c>
      <c r="E33" s="200">
        <v>0</v>
      </c>
      <c r="F33" s="22">
        <v>0</v>
      </c>
      <c r="G33" s="200">
        <v>0</v>
      </c>
      <c r="H33" s="22">
        <v>0</v>
      </c>
      <c r="I33" s="200">
        <v>0</v>
      </c>
      <c r="J33" s="22">
        <v>0</v>
      </c>
      <c r="K33" s="23">
        <v>0</v>
      </c>
      <c r="L33" s="22">
        <v>0</v>
      </c>
    </row>
    <row r="34" spans="2:13" x14ac:dyDescent="0.2">
      <c r="B34" s="19" t="s">
        <v>43</v>
      </c>
      <c r="C34" s="201">
        <f t="shared" ref="C34:L34" si="7">SUM(C24:C33)</f>
        <v>0</v>
      </c>
      <c r="D34" s="29">
        <f t="shared" si="7"/>
        <v>0</v>
      </c>
      <c r="E34" s="201">
        <f t="shared" si="7"/>
        <v>14</v>
      </c>
      <c r="F34" s="29">
        <f t="shared" si="7"/>
        <v>2239006</v>
      </c>
      <c r="G34" s="201">
        <f t="shared" si="7"/>
        <v>2</v>
      </c>
      <c r="H34" s="29">
        <f t="shared" si="7"/>
        <v>62516</v>
      </c>
      <c r="I34" s="201">
        <f t="shared" si="7"/>
        <v>2</v>
      </c>
      <c r="J34" s="24">
        <f t="shared" si="7"/>
        <v>35959</v>
      </c>
      <c r="K34" s="26">
        <f t="shared" si="7"/>
        <v>18</v>
      </c>
      <c r="L34" s="29">
        <f t="shared" si="7"/>
        <v>2337481</v>
      </c>
      <c r="M34" s="77"/>
    </row>
    <row r="36" spans="2:13" x14ac:dyDescent="0.2">
      <c r="B36" s="15" t="s">
        <v>80</v>
      </c>
      <c r="C36" s="16"/>
      <c r="D36" s="17"/>
      <c r="E36" s="16"/>
      <c r="F36" s="17"/>
      <c r="G36" s="16"/>
      <c r="H36" s="17"/>
      <c r="I36" s="16"/>
      <c r="J36" s="17"/>
      <c r="K36" s="16"/>
      <c r="L36" s="16"/>
    </row>
    <row r="37" spans="2:13" ht="15" customHeight="1" x14ac:dyDescent="0.25">
      <c r="B37" s="19" t="s">
        <v>16</v>
      </c>
      <c r="C37" s="242" t="s">
        <v>17</v>
      </c>
      <c r="D37" s="226"/>
      <c r="E37" s="242" t="s">
        <v>3</v>
      </c>
      <c r="F37" s="226"/>
      <c r="G37" s="242" t="s">
        <v>18</v>
      </c>
      <c r="H37" s="226"/>
      <c r="I37" s="242" t="s">
        <v>4</v>
      </c>
      <c r="J37" s="226"/>
      <c r="K37" s="237" t="s">
        <v>19</v>
      </c>
      <c r="L37" s="237" t="s">
        <v>20</v>
      </c>
    </row>
    <row r="38" spans="2:13" x14ac:dyDescent="0.2">
      <c r="B38" s="199">
        <f>'TOP SHEET'!J5</f>
        <v>45323</v>
      </c>
      <c r="C38" s="190" t="s">
        <v>21</v>
      </c>
      <c r="D38" s="20" t="s">
        <v>22</v>
      </c>
      <c r="E38" s="190" t="s">
        <v>21</v>
      </c>
      <c r="F38" s="20" t="s">
        <v>22</v>
      </c>
      <c r="G38" s="190" t="s">
        <v>21</v>
      </c>
      <c r="H38" s="20" t="s">
        <v>22</v>
      </c>
      <c r="I38" s="190" t="s">
        <v>21</v>
      </c>
      <c r="J38" s="20" t="s">
        <v>22</v>
      </c>
      <c r="K38" s="224"/>
      <c r="L38" s="224"/>
    </row>
    <row r="39" spans="2:13" x14ac:dyDescent="0.2">
      <c r="B39" s="21" t="str">
        <f t="shared" ref="B39:B48" si="8">B24</f>
        <v>Mar_2024</v>
      </c>
      <c r="C39" s="203">
        <f t="shared" ref="C39:J48" si="9">C5-C24</f>
        <v>0</v>
      </c>
      <c r="D39" s="30">
        <f t="shared" si="9"/>
        <v>0</v>
      </c>
      <c r="E39" s="31">
        <f t="shared" si="9"/>
        <v>-9</v>
      </c>
      <c r="F39" s="30">
        <f t="shared" si="9"/>
        <v>-2146080</v>
      </c>
      <c r="G39" s="31">
        <f t="shared" si="9"/>
        <v>-2</v>
      </c>
      <c r="H39" s="30">
        <f t="shared" si="9"/>
        <v>-62516</v>
      </c>
      <c r="I39" s="31">
        <f t="shared" si="9"/>
        <v>-2</v>
      </c>
      <c r="J39" s="30">
        <f t="shared" si="9"/>
        <v>-35959</v>
      </c>
      <c r="K39" s="23">
        <f t="shared" ref="K39:K48" si="10">C39+E39+G39+I39</f>
        <v>-13</v>
      </c>
      <c r="L39" s="22">
        <f t="shared" ref="L39:L48" si="11">D39+F39+H39+J39</f>
        <v>-2244555</v>
      </c>
    </row>
    <row r="40" spans="2:13" x14ac:dyDescent="0.2">
      <c r="B40" s="21" t="str">
        <f t="shared" si="8"/>
        <v>Jan_2024</v>
      </c>
      <c r="C40" s="200">
        <f t="shared" si="9"/>
        <v>0</v>
      </c>
      <c r="D40" s="30">
        <f t="shared" si="9"/>
        <v>0</v>
      </c>
      <c r="E40" s="31">
        <f t="shared" si="9"/>
        <v>-3</v>
      </c>
      <c r="F40" s="30">
        <f t="shared" si="9"/>
        <v>-74442</v>
      </c>
      <c r="G40" s="31">
        <f t="shared" si="9"/>
        <v>0</v>
      </c>
      <c r="H40" s="30">
        <f t="shared" si="9"/>
        <v>0</v>
      </c>
      <c r="I40" s="31">
        <f t="shared" si="9"/>
        <v>0</v>
      </c>
      <c r="J40" s="30">
        <f t="shared" si="9"/>
        <v>0</v>
      </c>
      <c r="K40" s="23">
        <f t="shared" si="10"/>
        <v>-3</v>
      </c>
      <c r="L40" s="22">
        <f t="shared" si="11"/>
        <v>-74442</v>
      </c>
    </row>
    <row r="41" spans="2:13" x14ac:dyDescent="0.2">
      <c r="B41" s="21" t="str">
        <f t="shared" si="8"/>
        <v>Dec_2023</v>
      </c>
      <c r="C41" s="200">
        <f t="shared" si="9"/>
        <v>0</v>
      </c>
      <c r="D41" s="30">
        <f t="shared" si="9"/>
        <v>0</v>
      </c>
      <c r="E41" s="31">
        <f t="shared" si="9"/>
        <v>-1</v>
      </c>
      <c r="F41" s="30">
        <f t="shared" si="9"/>
        <v>-6398</v>
      </c>
      <c r="G41" s="31">
        <f t="shared" si="9"/>
        <v>0</v>
      </c>
      <c r="H41" s="30">
        <f t="shared" si="9"/>
        <v>0</v>
      </c>
      <c r="I41" s="31">
        <f t="shared" si="9"/>
        <v>0</v>
      </c>
      <c r="J41" s="30">
        <f t="shared" si="9"/>
        <v>0</v>
      </c>
      <c r="K41" s="23">
        <f t="shared" si="10"/>
        <v>-1</v>
      </c>
      <c r="L41" s="22">
        <f t="shared" si="11"/>
        <v>-6398</v>
      </c>
    </row>
    <row r="42" spans="2:13" x14ac:dyDescent="0.2">
      <c r="B42" s="21" t="str">
        <f t="shared" si="8"/>
        <v>Nov_2023</v>
      </c>
      <c r="C42" s="31">
        <f t="shared" si="9"/>
        <v>0</v>
      </c>
      <c r="D42" s="30">
        <f t="shared" si="9"/>
        <v>0</v>
      </c>
      <c r="E42" s="31">
        <f t="shared" si="9"/>
        <v>-1</v>
      </c>
      <c r="F42" s="30">
        <f t="shared" si="9"/>
        <v>-12086</v>
      </c>
      <c r="G42" s="31">
        <f t="shared" si="9"/>
        <v>0</v>
      </c>
      <c r="H42" s="30">
        <f t="shared" si="9"/>
        <v>0</v>
      </c>
      <c r="I42" s="31">
        <f t="shared" si="9"/>
        <v>0</v>
      </c>
      <c r="J42" s="30">
        <f t="shared" si="9"/>
        <v>0</v>
      </c>
      <c r="K42" s="23">
        <f t="shared" si="10"/>
        <v>-1</v>
      </c>
      <c r="L42" s="22">
        <f t="shared" si="11"/>
        <v>-12086</v>
      </c>
    </row>
    <row r="43" spans="2:13" x14ac:dyDescent="0.2">
      <c r="B43" s="21" t="str">
        <f t="shared" si="8"/>
        <v>Oct_2023</v>
      </c>
      <c r="C43" s="31">
        <f t="shared" si="9"/>
        <v>0</v>
      </c>
      <c r="D43" s="30">
        <f t="shared" si="9"/>
        <v>0</v>
      </c>
      <c r="E43" s="31">
        <f t="shared" si="9"/>
        <v>0</v>
      </c>
      <c r="F43" s="30">
        <f t="shared" si="9"/>
        <v>0</v>
      </c>
      <c r="G43" s="31">
        <f t="shared" si="9"/>
        <v>0</v>
      </c>
      <c r="H43" s="30">
        <f t="shared" si="9"/>
        <v>0</v>
      </c>
      <c r="I43" s="31">
        <f t="shared" si="9"/>
        <v>0</v>
      </c>
      <c r="J43" s="30">
        <f t="shared" si="9"/>
        <v>0</v>
      </c>
      <c r="K43" s="23">
        <f t="shared" si="10"/>
        <v>0</v>
      </c>
      <c r="L43" s="22">
        <f t="shared" si="11"/>
        <v>0</v>
      </c>
    </row>
    <row r="44" spans="2:13" x14ac:dyDescent="0.2">
      <c r="B44" s="21" t="str">
        <f t="shared" si="8"/>
        <v>Sep_2023</v>
      </c>
      <c r="C44" s="31">
        <f t="shared" si="9"/>
        <v>0</v>
      </c>
      <c r="D44" s="30">
        <f t="shared" si="9"/>
        <v>0</v>
      </c>
      <c r="E44" s="31">
        <f t="shared" si="9"/>
        <v>0</v>
      </c>
      <c r="F44" s="30">
        <f t="shared" si="9"/>
        <v>0</v>
      </c>
      <c r="G44" s="31">
        <f t="shared" si="9"/>
        <v>0</v>
      </c>
      <c r="H44" s="30">
        <f t="shared" si="9"/>
        <v>0</v>
      </c>
      <c r="I44" s="31">
        <f t="shared" si="9"/>
        <v>0</v>
      </c>
      <c r="J44" s="30">
        <f t="shared" si="9"/>
        <v>0</v>
      </c>
      <c r="K44" s="23">
        <f t="shared" si="10"/>
        <v>0</v>
      </c>
      <c r="L44" s="22">
        <f t="shared" si="11"/>
        <v>0</v>
      </c>
    </row>
    <row r="45" spans="2:13" x14ac:dyDescent="0.2">
      <c r="B45" s="21" t="str">
        <f t="shared" si="8"/>
        <v>Aug_2023</v>
      </c>
      <c r="C45" s="31">
        <f t="shared" si="9"/>
        <v>0</v>
      </c>
      <c r="D45" s="30">
        <f t="shared" si="9"/>
        <v>0</v>
      </c>
      <c r="E45" s="31">
        <f t="shared" si="9"/>
        <v>0</v>
      </c>
      <c r="F45" s="30">
        <f t="shared" si="9"/>
        <v>0</v>
      </c>
      <c r="G45" s="31">
        <f t="shared" si="9"/>
        <v>0</v>
      </c>
      <c r="H45" s="30">
        <f t="shared" si="9"/>
        <v>0</v>
      </c>
      <c r="I45" s="31">
        <f t="shared" si="9"/>
        <v>0</v>
      </c>
      <c r="J45" s="30">
        <f t="shared" si="9"/>
        <v>0</v>
      </c>
      <c r="K45" s="23">
        <f t="shared" si="10"/>
        <v>0</v>
      </c>
      <c r="L45" s="22">
        <f t="shared" si="11"/>
        <v>0</v>
      </c>
    </row>
    <row r="46" spans="2:13" x14ac:dyDescent="0.2">
      <c r="B46" s="21" t="str">
        <f t="shared" si="8"/>
        <v>Jul_2023</v>
      </c>
      <c r="C46" s="31">
        <f t="shared" si="9"/>
        <v>0</v>
      </c>
      <c r="D46" s="30">
        <f t="shared" si="9"/>
        <v>0</v>
      </c>
      <c r="E46" s="31">
        <f t="shared" si="9"/>
        <v>0</v>
      </c>
      <c r="F46" s="30">
        <f t="shared" si="9"/>
        <v>0</v>
      </c>
      <c r="G46" s="31">
        <f t="shared" si="9"/>
        <v>0</v>
      </c>
      <c r="H46" s="30">
        <f t="shared" si="9"/>
        <v>0</v>
      </c>
      <c r="I46" s="31">
        <f t="shared" si="9"/>
        <v>0</v>
      </c>
      <c r="J46" s="30">
        <f t="shared" si="9"/>
        <v>0</v>
      </c>
      <c r="K46" s="23">
        <f t="shared" si="10"/>
        <v>0</v>
      </c>
      <c r="L46" s="22">
        <f t="shared" si="11"/>
        <v>0</v>
      </c>
    </row>
    <row r="47" spans="2:13" x14ac:dyDescent="0.2">
      <c r="B47" s="21" t="str">
        <f t="shared" si="8"/>
        <v>Jun_2023</v>
      </c>
      <c r="C47" s="31">
        <f t="shared" si="9"/>
        <v>0</v>
      </c>
      <c r="D47" s="30">
        <f t="shared" si="9"/>
        <v>0</v>
      </c>
      <c r="E47" s="31">
        <f t="shared" si="9"/>
        <v>0</v>
      </c>
      <c r="F47" s="30">
        <f t="shared" si="9"/>
        <v>0</v>
      </c>
      <c r="G47" s="31">
        <f t="shared" si="9"/>
        <v>0</v>
      </c>
      <c r="H47" s="30">
        <f t="shared" si="9"/>
        <v>0</v>
      </c>
      <c r="I47" s="31">
        <f t="shared" si="9"/>
        <v>0</v>
      </c>
      <c r="J47" s="30">
        <f t="shared" si="9"/>
        <v>0</v>
      </c>
      <c r="K47" s="23">
        <f t="shared" si="10"/>
        <v>0</v>
      </c>
      <c r="L47" s="22">
        <f t="shared" si="11"/>
        <v>0</v>
      </c>
    </row>
    <row r="48" spans="2:13" x14ac:dyDescent="0.2">
      <c r="B48" s="21" t="str">
        <f t="shared" si="8"/>
        <v>Apr_2023</v>
      </c>
      <c r="C48" s="31">
        <f t="shared" si="9"/>
        <v>0</v>
      </c>
      <c r="D48" s="30">
        <f t="shared" si="9"/>
        <v>0</v>
      </c>
      <c r="E48" s="31">
        <f t="shared" si="9"/>
        <v>0</v>
      </c>
      <c r="F48" s="30">
        <f t="shared" si="9"/>
        <v>0</v>
      </c>
      <c r="G48" s="31">
        <f t="shared" si="9"/>
        <v>0</v>
      </c>
      <c r="H48" s="30">
        <f t="shared" si="9"/>
        <v>0</v>
      </c>
      <c r="I48" s="31">
        <f t="shared" si="9"/>
        <v>0</v>
      </c>
      <c r="J48" s="30">
        <f t="shared" si="9"/>
        <v>0</v>
      </c>
      <c r="K48" s="23">
        <f t="shared" si="10"/>
        <v>0</v>
      </c>
      <c r="L48" s="22">
        <f t="shared" si="11"/>
        <v>0</v>
      </c>
    </row>
    <row r="49" spans="2:12" x14ac:dyDescent="0.2">
      <c r="B49" s="19" t="s">
        <v>43</v>
      </c>
      <c r="C49" s="201">
        <f t="shared" ref="C49:L49" si="12">SUM(C39:C48)</f>
        <v>0</v>
      </c>
      <c r="D49" s="24">
        <f t="shared" si="12"/>
        <v>0</v>
      </c>
      <c r="E49" s="25">
        <f t="shared" si="12"/>
        <v>-14</v>
      </c>
      <c r="F49" s="24">
        <f t="shared" si="12"/>
        <v>-2239006</v>
      </c>
      <c r="G49" s="25">
        <f t="shared" si="12"/>
        <v>-2</v>
      </c>
      <c r="H49" s="24">
        <f t="shared" si="12"/>
        <v>-62516</v>
      </c>
      <c r="I49" s="25">
        <f t="shared" si="12"/>
        <v>-2</v>
      </c>
      <c r="J49" s="24">
        <f t="shared" si="12"/>
        <v>-35959</v>
      </c>
      <c r="K49" s="26">
        <f t="shared" si="12"/>
        <v>-18</v>
      </c>
      <c r="L49" s="24">
        <f t="shared" si="12"/>
        <v>-2337481</v>
      </c>
    </row>
    <row r="67" spans="3:11" ht="12.75" customHeight="1" x14ac:dyDescent="0.2">
      <c r="C67" s="32" t="s">
        <v>81</v>
      </c>
    </row>
    <row r="68" spans="3:11" ht="12.75" customHeight="1" x14ac:dyDescent="0.25">
      <c r="C68" s="243" t="s">
        <v>82</v>
      </c>
      <c r="D68" s="241" t="s">
        <v>83</v>
      </c>
      <c r="E68" s="226"/>
      <c r="F68" s="239" t="s">
        <v>84</v>
      </c>
      <c r="G68" s="240"/>
      <c r="H68" s="241" t="s">
        <v>85</v>
      </c>
      <c r="I68" s="226"/>
      <c r="J68" s="241" t="s">
        <v>86</v>
      </c>
      <c r="K68" s="226"/>
    </row>
    <row r="69" spans="3:11" ht="12.75" customHeight="1" x14ac:dyDescent="0.2">
      <c r="C69" s="224"/>
      <c r="D69" s="33" t="s">
        <v>87</v>
      </c>
      <c r="E69" s="34" t="s">
        <v>88</v>
      </c>
      <c r="F69" s="189" t="s">
        <v>87</v>
      </c>
      <c r="G69" s="189" t="s">
        <v>88</v>
      </c>
      <c r="H69" s="33" t="s">
        <v>87</v>
      </c>
      <c r="I69" s="34" t="s">
        <v>88</v>
      </c>
      <c r="J69" s="33" t="s">
        <v>87</v>
      </c>
      <c r="K69" s="34" t="s">
        <v>88</v>
      </c>
    </row>
    <row r="70" spans="3:11" ht="12.75" customHeight="1" x14ac:dyDescent="0.2">
      <c r="C70" s="35">
        <v>43709</v>
      </c>
      <c r="D70" s="33">
        <v>214</v>
      </c>
      <c r="E70" s="204">
        <v>3215310</v>
      </c>
      <c r="F70" s="36">
        <f t="shared" ref="F70:F100" si="13">D70-H70</f>
        <v>214</v>
      </c>
      <c r="G70" s="205">
        <f t="shared" ref="G70:G100" si="14">E70-I70</f>
        <v>3215310</v>
      </c>
      <c r="H70" s="36">
        <f>COUNTIFS('CR IN BANK'!$E:$E,"="&amp;C70)</f>
        <v>0</v>
      </c>
      <c r="I70" s="206">
        <f>SUMIFS('CR IN BANK'!$K:$K,'CR IN BANK'!$E:$E,"="&amp;C70)</f>
        <v>0</v>
      </c>
      <c r="J70" s="37">
        <f t="shared" ref="J70:J100" si="15">H70/D70</f>
        <v>0</v>
      </c>
      <c r="K70" s="37">
        <f t="shared" ref="K70:K100" si="16">I70/E70</f>
        <v>0</v>
      </c>
    </row>
    <row r="71" spans="3:11" ht="12.75" customHeight="1" x14ac:dyDescent="0.2">
      <c r="C71" s="38">
        <f t="shared" ref="C71:C100" si="17">C70+1</f>
        <v>43710</v>
      </c>
      <c r="D71" s="33">
        <v>721</v>
      </c>
      <c r="E71" s="204">
        <v>21826868.579999998</v>
      </c>
      <c r="F71" s="36">
        <f t="shared" si="13"/>
        <v>721</v>
      </c>
      <c r="G71" s="205">
        <f t="shared" si="14"/>
        <v>21826868.579999998</v>
      </c>
      <c r="H71" s="36">
        <f>COUNTIFS('CR IN BANK'!$E:$E,"="&amp;C71)</f>
        <v>0</v>
      </c>
      <c r="I71" s="206">
        <f>SUMIFS('CR IN BANK'!$K:$K,'CR IN BANK'!$E:$E,"="&amp;C71)</f>
        <v>0</v>
      </c>
      <c r="J71" s="37">
        <f t="shared" si="15"/>
        <v>0</v>
      </c>
      <c r="K71" s="37">
        <f t="shared" si="16"/>
        <v>0</v>
      </c>
    </row>
    <row r="72" spans="3:11" ht="12.75" customHeight="1" x14ac:dyDescent="0.2">
      <c r="C72" s="38">
        <f t="shared" si="17"/>
        <v>43711</v>
      </c>
      <c r="D72" s="33">
        <v>1101</v>
      </c>
      <c r="E72" s="204">
        <v>56197044.180000007</v>
      </c>
      <c r="F72" s="36">
        <f t="shared" si="13"/>
        <v>1101</v>
      </c>
      <c r="G72" s="205">
        <f t="shared" si="14"/>
        <v>56197044.180000007</v>
      </c>
      <c r="H72" s="36">
        <f>COUNTIFS('CR IN BANK'!$E:$E,"="&amp;C72)</f>
        <v>0</v>
      </c>
      <c r="I72" s="206">
        <f>SUMIFS('CR IN BANK'!$K:$K,'CR IN BANK'!$E:$E,"="&amp;C72)</f>
        <v>0</v>
      </c>
      <c r="J72" s="37">
        <f t="shared" si="15"/>
        <v>0</v>
      </c>
      <c r="K72" s="37">
        <f t="shared" si="16"/>
        <v>0</v>
      </c>
    </row>
    <row r="73" spans="3:11" ht="12.75" customHeight="1" x14ac:dyDescent="0.2">
      <c r="C73" s="38">
        <f t="shared" si="17"/>
        <v>43712</v>
      </c>
      <c r="D73" s="33">
        <v>429</v>
      </c>
      <c r="E73" s="204">
        <v>21195397.300000001</v>
      </c>
      <c r="F73" s="36">
        <f t="shared" si="13"/>
        <v>429</v>
      </c>
      <c r="G73" s="205">
        <f t="shared" si="14"/>
        <v>21195397.300000001</v>
      </c>
      <c r="H73" s="36">
        <f>COUNTIFS('CR IN BANK'!$E:$E,"="&amp;C73)</f>
        <v>0</v>
      </c>
      <c r="I73" s="206">
        <f>SUMIFS('CR IN BANK'!$K:$K,'CR IN BANK'!$E:$E,"="&amp;C73)</f>
        <v>0</v>
      </c>
      <c r="J73" s="37">
        <f t="shared" si="15"/>
        <v>0</v>
      </c>
      <c r="K73" s="37">
        <f t="shared" si="16"/>
        <v>0</v>
      </c>
    </row>
    <row r="74" spans="3:11" ht="12.75" customHeight="1" x14ac:dyDescent="0.2">
      <c r="C74" s="38">
        <f t="shared" si="17"/>
        <v>43713</v>
      </c>
      <c r="D74" s="33">
        <v>610</v>
      </c>
      <c r="E74" s="204">
        <v>26577950.100000001</v>
      </c>
      <c r="F74" s="36">
        <f t="shared" si="13"/>
        <v>610</v>
      </c>
      <c r="G74" s="205">
        <f t="shared" si="14"/>
        <v>26577950.100000001</v>
      </c>
      <c r="H74" s="36">
        <f>COUNTIFS('CR IN BANK'!$E:$E,"="&amp;C74)</f>
        <v>0</v>
      </c>
      <c r="I74" s="206">
        <f>SUMIFS('CR IN BANK'!$K:$K,'CR IN BANK'!$E:$E,"="&amp;C74)</f>
        <v>0</v>
      </c>
      <c r="J74" s="37">
        <f t="shared" si="15"/>
        <v>0</v>
      </c>
      <c r="K74" s="37">
        <f t="shared" si="16"/>
        <v>0</v>
      </c>
    </row>
    <row r="75" spans="3:11" ht="12.75" customHeight="1" x14ac:dyDescent="0.2">
      <c r="C75" s="38">
        <f t="shared" si="17"/>
        <v>43714</v>
      </c>
      <c r="D75" s="33">
        <v>739</v>
      </c>
      <c r="E75" s="204">
        <v>27714875.390000001</v>
      </c>
      <c r="F75" s="36">
        <f t="shared" si="13"/>
        <v>739</v>
      </c>
      <c r="G75" s="205">
        <f t="shared" si="14"/>
        <v>27714875.390000001</v>
      </c>
      <c r="H75" s="36">
        <f>COUNTIFS('CR IN BANK'!$E:$E,"="&amp;C75)</f>
        <v>0</v>
      </c>
      <c r="I75" s="206">
        <f>SUMIFS('CR IN BANK'!$K:$K,'CR IN BANK'!$E:$E,"="&amp;C75)</f>
        <v>0</v>
      </c>
      <c r="J75" s="37">
        <f t="shared" si="15"/>
        <v>0</v>
      </c>
      <c r="K75" s="37">
        <f t="shared" si="16"/>
        <v>0</v>
      </c>
    </row>
    <row r="76" spans="3:11" ht="12.75" customHeight="1" x14ac:dyDescent="0.2">
      <c r="C76" s="38">
        <f t="shared" si="17"/>
        <v>43715</v>
      </c>
      <c r="D76" s="33">
        <v>725</v>
      </c>
      <c r="E76" s="204">
        <v>24478075.510000002</v>
      </c>
      <c r="F76" s="36">
        <f t="shared" si="13"/>
        <v>725</v>
      </c>
      <c r="G76" s="205">
        <f t="shared" si="14"/>
        <v>24478075.510000002</v>
      </c>
      <c r="H76" s="36">
        <f>COUNTIFS('CR IN BANK'!$E:$E,"="&amp;C76)</f>
        <v>0</v>
      </c>
      <c r="I76" s="206">
        <f>SUMIFS('CR IN BANK'!$K:$K,'CR IN BANK'!$E:$E,"="&amp;C76)</f>
        <v>0</v>
      </c>
      <c r="J76" s="37">
        <f t="shared" si="15"/>
        <v>0</v>
      </c>
      <c r="K76" s="37">
        <f t="shared" si="16"/>
        <v>0</v>
      </c>
    </row>
    <row r="77" spans="3:11" ht="12.75" customHeight="1" x14ac:dyDescent="0.2">
      <c r="C77" s="38">
        <f t="shared" si="17"/>
        <v>43716</v>
      </c>
      <c r="D77" s="33">
        <v>164</v>
      </c>
      <c r="E77" s="204">
        <v>2356418</v>
      </c>
      <c r="F77" s="36">
        <f t="shared" si="13"/>
        <v>164</v>
      </c>
      <c r="G77" s="205">
        <f t="shared" si="14"/>
        <v>2356418</v>
      </c>
      <c r="H77" s="36">
        <f>COUNTIFS('CR IN BANK'!$E:$E,"="&amp;C77)</f>
        <v>0</v>
      </c>
      <c r="I77" s="206">
        <f>SUMIFS('CR IN BANK'!$K:$K,'CR IN BANK'!$E:$E,"="&amp;C77)</f>
        <v>0</v>
      </c>
      <c r="J77" s="37">
        <f t="shared" si="15"/>
        <v>0</v>
      </c>
      <c r="K77" s="37">
        <f t="shared" si="16"/>
        <v>0</v>
      </c>
    </row>
    <row r="78" spans="3:11" ht="12.75" customHeight="1" x14ac:dyDescent="0.2">
      <c r="C78" s="38">
        <f t="shared" si="17"/>
        <v>43717</v>
      </c>
      <c r="D78" s="33">
        <v>1034</v>
      </c>
      <c r="E78" s="204">
        <v>173585774.31</v>
      </c>
      <c r="F78" s="36">
        <f t="shared" si="13"/>
        <v>1034</v>
      </c>
      <c r="G78" s="205">
        <f t="shared" si="14"/>
        <v>173585774.31</v>
      </c>
      <c r="H78" s="36">
        <f>COUNTIFS('CR IN BANK'!$E:$E,"="&amp;C78)</f>
        <v>0</v>
      </c>
      <c r="I78" s="206">
        <f>SUMIFS('CR IN BANK'!$K:$K,'CR IN BANK'!$E:$E,"="&amp;C78)</f>
        <v>0</v>
      </c>
      <c r="J78" s="37">
        <f t="shared" si="15"/>
        <v>0</v>
      </c>
      <c r="K78" s="37">
        <f t="shared" si="16"/>
        <v>0</v>
      </c>
    </row>
    <row r="79" spans="3:11" ht="12.75" customHeight="1" x14ac:dyDescent="0.2">
      <c r="C79" s="38">
        <f t="shared" si="17"/>
        <v>43718</v>
      </c>
      <c r="D79" s="33">
        <v>538</v>
      </c>
      <c r="E79" s="204">
        <v>13759949.65</v>
      </c>
      <c r="F79" s="36">
        <f t="shared" si="13"/>
        <v>538</v>
      </c>
      <c r="G79" s="205">
        <f t="shared" si="14"/>
        <v>13759949.65</v>
      </c>
      <c r="H79" s="36">
        <f>COUNTIFS('CR IN BANK'!$E:$E,"="&amp;C79)</f>
        <v>0</v>
      </c>
      <c r="I79" s="206">
        <f>SUMIFS('CR IN BANK'!$K:$K,'CR IN BANK'!$E:$E,"="&amp;C79)</f>
        <v>0</v>
      </c>
      <c r="J79" s="37">
        <f t="shared" si="15"/>
        <v>0</v>
      </c>
      <c r="K79" s="37">
        <f t="shared" si="16"/>
        <v>0</v>
      </c>
    </row>
    <row r="80" spans="3:11" ht="12.75" customHeight="1" x14ac:dyDescent="0.2">
      <c r="C80" s="38">
        <f t="shared" si="17"/>
        <v>43719</v>
      </c>
      <c r="D80" s="33">
        <v>815</v>
      </c>
      <c r="E80" s="204">
        <v>42222306.759999998</v>
      </c>
      <c r="F80" s="36">
        <f t="shared" si="13"/>
        <v>815</v>
      </c>
      <c r="G80" s="205">
        <f t="shared" si="14"/>
        <v>42222306.759999998</v>
      </c>
      <c r="H80" s="36">
        <f>COUNTIFS('CR IN BANK'!$E:$E,"="&amp;C80)</f>
        <v>0</v>
      </c>
      <c r="I80" s="206">
        <f>SUMIFS('CR IN BANK'!$K:$K,'CR IN BANK'!$E:$E,"="&amp;C80)</f>
        <v>0</v>
      </c>
      <c r="J80" s="37">
        <f t="shared" si="15"/>
        <v>0</v>
      </c>
      <c r="K80" s="37">
        <f t="shared" si="16"/>
        <v>0</v>
      </c>
    </row>
    <row r="81" spans="3:11" ht="12.75" customHeight="1" x14ac:dyDescent="0.2">
      <c r="C81" s="38">
        <f t="shared" si="17"/>
        <v>43720</v>
      </c>
      <c r="D81" s="33">
        <v>703</v>
      </c>
      <c r="E81" s="204">
        <v>47721514.009999998</v>
      </c>
      <c r="F81" s="36">
        <f t="shared" si="13"/>
        <v>703</v>
      </c>
      <c r="G81" s="205">
        <f t="shared" si="14"/>
        <v>47721514.009999998</v>
      </c>
      <c r="H81" s="36">
        <f>COUNTIFS('CR IN BANK'!$E:$E,"="&amp;C81)</f>
        <v>0</v>
      </c>
      <c r="I81" s="206">
        <f>SUMIFS('CR IN BANK'!$K:$K,'CR IN BANK'!$E:$E,"="&amp;C81)</f>
        <v>0</v>
      </c>
      <c r="J81" s="37">
        <f t="shared" si="15"/>
        <v>0</v>
      </c>
      <c r="K81" s="37">
        <f t="shared" si="16"/>
        <v>0</v>
      </c>
    </row>
    <row r="82" spans="3:11" ht="12.75" customHeight="1" x14ac:dyDescent="0.2">
      <c r="C82" s="38">
        <f t="shared" si="17"/>
        <v>43721</v>
      </c>
      <c r="D82" s="33">
        <v>704</v>
      </c>
      <c r="E82" s="204">
        <v>89080170.25</v>
      </c>
      <c r="F82" s="36">
        <f t="shared" si="13"/>
        <v>704</v>
      </c>
      <c r="G82" s="205">
        <f t="shared" si="14"/>
        <v>89080170.25</v>
      </c>
      <c r="H82" s="36">
        <f>COUNTIFS('CR IN BANK'!$E:$E,"="&amp;C82)</f>
        <v>0</v>
      </c>
      <c r="I82" s="206">
        <f>SUMIFS('CR IN BANK'!$K:$K,'CR IN BANK'!$E:$E,"="&amp;C82)</f>
        <v>0</v>
      </c>
      <c r="J82" s="37">
        <f t="shared" si="15"/>
        <v>0</v>
      </c>
      <c r="K82" s="37">
        <f t="shared" si="16"/>
        <v>0</v>
      </c>
    </row>
    <row r="83" spans="3:11" ht="12.75" customHeight="1" x14ac:dyDescent="0.2">
      <c r="C83" s="38">
        <f t="shared" si="17"/>
        <v>43722</v>
      </c>
      <c r="D83" s="33">
        <v>352</v>
      </c>
      <c r="E83" s="204">
        <v>4719796.05</v>
      </c>
      <c r="F83" s="36">
        <f t="shared" si="13"/>
        <v>352</v>
      </c>
      <c r="G83" s="205">
        <f t="shared" si="14"/>
        <v>4719796.05</v>
      </c>
      <c r="H83" s="36">
        <f>COUNTIFS('CR IN BANK'!$E:$E,"="&amp;C83)</f>
        <v>0</v>
      </c>
      <c r="I83" s="206">
        <f>SUMIFS('CR IN BANK'!$K:$K,'CR IN BANK'!$E:$E,"="&amp;C83)</f>
        <v>0</v>
      </c>
      <c r="J83" s="37">
        <f t="shared" si="15"/>
        <v>0</v>
      </c>
      <c r="K83" s="37">
        <f t="shared" si="16"/>
        <v>0</v>
      </c>
    </row>
    <row r="84" spans="3:11" ht="12.75" customHeight="1" x14ac:dyDescent="0.2">
      <c r="C84" s="38">
        <f t="shared" si="17"/>
        <v>43723</v>
      </c>
      <c r="D84" s="33">
        <v>47</v>
      </c>
      <c r="E84" s="204">
        <v>756542</v>
      </c>
      <c r="F84" s="36">
        <f t="shared" si="13"/>
        <v>47</v>
      </c>
      <c r="G84" s="205">
        <f t="shared" si="14"/>
        <v>756542</v>
      </c>
      <c r="H84" s="36">
        <f>COUNTIFS('CR IN BANK'!$E:$E,"="&amp;C84)</f>
        <v>0</v>
      </c>
      <c r="I84" s="206">
        <f>SUMIFS('CR IN BANK'!$K:$K,'CR IN BANK'!$E:$E,"="&amp;C84)</f>
        <v>0</v>
      </c>
      <c r="J84" s="37">
        <f t="shared" si="15"/>
        <v>0</v>
      </c>
      <c r="K84" s="37">
        <f t="shared" si="16"/>
        <v>0</v>
      </c>
    </row>
    <row r="85" spans="3:11" ht="12.75" customHeight="1" x14ac:dyDescent="0.2">
      <c r="C85" s="38">
        <f t="shared" si="17"/>
        <v>43724</v>
      </c>
      <c r="D85" s="33">
        <v>769</v>
      </c>
      <c r="E85" s="204">
        <v>61707738.840000004</v>
      </c>
      <c r="F85" s="36">
        <f t="shared" si="13"/>
        <v>769</v>
      </c>
      <c r="G85" s="205">
        <f t="shared" si="14"/>
        <v>61707738.840000004</v>
      </c>
      <c r="H85" s="36">
        <f>COUNTIFS('CR IN BANK'!$E:$E,"="&amp;C85)</f>
        <v>0</v>
      </c>
      <c r="I85" s="206">
        <f>SUMIFS('CR IN BANK'!$K:$K,'CR IN BANK'!$E:$E,"="&amp;C85)</f>
        <v>0</v>
      </c>
      <c r="J85" s="37">
        <f t="shared" si="15"/>
        <v>0</v>
      </c>
      <c r="K85" s="37">
        <f t="shared" si="16"/>
        <v>0</v>
      </c>
    </row>
    <row r="86" spans="3:11" ht="12.75" customHeight="1" x14ac:dyDescent="0.2">
      <c r="C86" s="38">
        <f t="shared" si="17"/>
        <v>43725</v>
      </c>
      <c r="D86" s="33">
        <v>691</v>
      </c>
      <c r="E86" s="204">
        <v>35180321.5</v>
      </c>
      <c r="F86" s="36">
        <f t="shared" si="13"/>
        <v>691</v>
      </c>
      <c r="G86" s="205">
        <f t="shared" si="14"/>
        <v>35180321.5</v>
      </c>
      <c r="H86" s="36">
        <f>COUNTIFS('CR IN BANK'!$E:$E,"="&amp;C86)</f>
        <v>0</v>
      </c>
      <c r="I86" s="206">
        <f>SUMIFS('CR IN BANK'!$K:$K,'CR IN BANK'!$E:$E,"="&amp;C86)</f>
        <v>0</v>
      </c>
      <c r="J86" s="37">
        <f t="shared" si="15"/>
        <v>0</v>
      </c>
      <c r="K86" s="37">
        <f t="shared" si="16"/>
        <v>0</v>
      </c>
    </row>
    <row r="87" spans="3:11" ht="12.75" customHeight="1" x14ac:dyDescent="0.2">
      <c r="C87" s="38">
        <f t="shared" si="17"/>
        <v>43726</v>
      </c>
      <c r="D87" s="33">
        <v>690</v>
      </c>
      <c r="E87" s="204">
        <v>32803145.030000001</v>
      </c>
      <c r="F87" s="36">
        <f t="shared" si="13"/>
        <v>690</v>
      </c>
      <c r="G87" s="205">
        <f t="shared" si="14"/>
        <v>32803145.030000001</v>
      </c>
      <c r="H87" s="36">
        <f>COUNTIFS('CR IN BANK'!$E:$E,"="&amp;C87)</f>
        <v>0</v>
      </c>
      <c r="I87" s="206">
        <f>SUMIFS('CR IN BANK'!$K:$K,'CR IN BANK'!$E:$E,"="&amp;C87)</f>
        <v>0</v>
      </c>
      <c r="J87" s="37">
        <f t="shared" si="15"/>
        <v>0</v>
      </c>
      <c r="K87" s="37">
        <f t="shared" si="16"/>
        <v>0</v>
      </c>
    </row>
    <row r="88" spans="3:11" ht="12.75" customHeight="1" x14ac:dyDescent="0.2">
      <c r="C88" s="38">
        <f t="shared" si="17"/>
        <v>43727</v>
      </c>
      <c r="D88" s="33">
        <v>614</v>
      </c>
      <c r="E88" s="204">
        <v>35528471.609999999</v>
      </c>
      <c r="F88" s="36">
        <f t="shared" si="13"/>
        <v>614</v>
      </c>
      <c r="G88" s="205">
        <f t="shared" si="14"/>
        <v>35528471.609999999</v>
      </c>
      <c r="H88" s="36">
        <f>COUNTIFS('CR IN BANK'!$E:$E,"="&amp;C88)</f>
        <v>0</v>
      </c>
      <c r="I88" s="206">
        <f>SUMIFS('CR IN BANK'!$K:$K,'CR IN BANK'!$E:$E,"="&amp;C88)</f>
        <v>0</v>
      </c>
      <c r="J88" s="37">
        <f t="shared" si="15"/>
        <v>0</v>
      </c>
      <c r="K88" s="37">
        <f t="shared" si="16"/>
        <v>0</v>
      </c>
    </row>
    <row r="89" spans="3:11" ht="12.75" customHeight="1" x14ac:dyDescent="0.2">
      <c r="C89" s="38">
        <f t="shared" si="17"/>
        <v>43728</v>
      </c>
      <c r="D89" s="33">
        <v>713</v>
      </c>
      <c r="E89" s="204">
        <v>35763178.270000003</v>
      </c>
      <c r="F89" s="36">
        <f t="shared" si="13"/>
        <v>713</v>
      </c>
      <c r="G89" s="205">
        <f t="shared" si="14"/>
        <v>35763178.270000003</v>
      </c>
      <c r="H89" s="36">
        <f>COUNTIFS('CR IN BANK'!$E:$E,"="&amp;C89)</f>
        <v>0</v>
      </c>
      <c r="I89" s="206">
        <f>SUMIFS('CR IN BANK'!$K:$K,'CR IN BANK'!$E:$E,"="&amp;C89)</f>
        <v>0</v>
      </c>
      <c r="J89" s="37">
        <f t="shared" si="15"/>
        <v>0</v>
      </c>
      <c r="K89" s="37">
        <f t="shared" si="16"/>
        <v>0</v>
      </c>
    </row>
    <row r="90" spans="3:11" ht="12.75" customHeight="1" x14ac:dyDescent="0.2">
      <c r="C90" s="38">
        <f t="shared" si="17"/>
        <v>43729</v>
      </c>
      <c r="D90" s="33">
        <v>456</v>
      </c>
      <c r="E90" s="204">
        <v>22972803</v>
      </c>
      <c r="F90" s="36">
        <f t="shared" si="13"/>
        <v>456</v>
      </c>
      <c r="G90" s="205">
        <f t="shared" si="14"/>
        <v>22972803</v>
      </c>
      <c r="H90" s="36">
        <f>COUNTIFS('CR IN BANK'!$E:$E,"="&amp;C90)</f>
        <v>0</v>
      </c>
      <c r="I90" s="206">
        <f>SUMIFS('CR IN BANK'!$K:$K,'CR IN BANK'!$E:$E,"="&amp;C90)</f>
        <v>0</v>
      </c>
      <c r="J90" s="37">
        <f t="shared" si="15"/>
        <v>0</v>
      </c>
      <c r="K90" s="37">
        <f t="shared" si="16"/>
        <v>0</v>
      </c>
    </row>
    <row r="91" spans="3:11" ht="12.75" customHeight="1" x14ac:dyDescent="0.2">
      <c r="C91" s="38">
        <f t="shared" si="17"/>
        <v>43730</v>
      </c>
      <c r="D91" s="33">
        <v>34</v>
      </c>
      <c r="E91" s="204">
        <v>283951</v>
      </c>
      <c r="F91" s="36">
        <f t="shared" si="13"/>
        <v>34</v>
      </c>
      <c r="G91" s="205">
        <f t="shared" si="14"/>
        <v>283951</v>
      </c>
      <c r="H91" s="36">
        <f>COUNTIFS('CR IN BANK'!$E:$E,"="&amp;C91)</f>
        <v>0</v>
      </c>
      <c r="I91" s="206">
        <f>SUMIFS('CR IN BANK'!$K:$K,'CR IN BANK'!$E:$E,"="&amp;C91)</f>
        <v>0</v>
      </c>
      <c r="J91" s="37">
        <f t="shared" si="15"/>
        <v>0</v>
      </c>
      <c r="K91" s="37">
        <f t="shared" si="16"/>
        <v>0</v>
      </c>
    </row>
    <row r="92" spans="3:11" ht="12.75" customHeight="1" x14ac:dyDescent="0.2">
      <c r="C92" s="38">
        <f t="shared" si="17"/>
        <v>43731</v>
      </c>
      <c r="D92" s="33">
        <v>510</v>
      </c>
      <c r="E92" s="204">
        <v>28041368.41</v>
      </c>
      <c r="F92" s="36">
        <f t="shared" si="13"/>
        <v>510</v>
      </c>
      <c r="G92" s="205">
        <f t="shared" si="14"/>
        <v>28041368.41</v>
      </c>
      <c r="H92" s="36">
        <f>COUNTIFS('CR IN BANK'!$E:$E,"="&amp;C92)</f>
        <v>0</v>
      </c>
      <c r="I92" s="206">
        <f>SUMIFS('CR IN BANK'!$K:$K,'CR IN BANK'!$E:$E,"="&amp;C92)</f>
        <v>0</v>
      </c>
      <c r="J92" s="37">
        <f t="shared" si="15"/>
        <v>0</v>
      </c>
      <c r="K92" s="37">
        <f t="shared" si="16"/>
        <v>0</v>
      </c>
    </row>
    <row r="93" spans="3:11" ht="12.75" customHeight="1" x14ac:dyDescent="0.2">
      <c r="C93" s="38">
        <f t="shared" si="17"/>
        <v>43732</v>
      </c>
      <c r="D93" s="33">
        <v>539</v>
      </c>
      <c r="E93" s="204">
        <v>24168912.350000001</v>
      </c>
      <c r="F93" s="36">
        <f t="shared" si="13"/>
        <v>539</v>
      </c>
      <c r="G93" s="205">
        <f t="shared" si="14"/>
        <v>24168912.350000001</v>
      </c>
      <c r="H93" s="36">
        <f>COUNTIFS('CR IN BANK'!$E:$E,"="&amp;C93)</f>
        <v>0</v>
      </c>
      <c r="I93" s="206">
        <f>SUMIFS('CR IN BANK'!$K:$K,'CR IN BANK'!$E:$E,"="&amp;C93)</f>
        <v>0</v>
      </c>
      <c r="J93" s="37">
        <f t="shared" si="15"/>
        <v>0</v>
      </c>
      <c r="K93" s="37">
        <f t="shared" si="16"/>
        <v>0</v>
      </c>
    </row>
    <row r="94" spans="3:11" ht="12.75" customHeight="1" x14ac:dyDescent="0.2">
      <c r="C94" s="38">
        <f t="shared" si="17"/>
        <v>43733</v>
      </c>
      <c r="D94" s="33">
        <v>637</v>
      </c>
      <c r="E94" s="204">
        <v>34213698.229999997</v>
      </c>
      <c r="F94" s="36">
        <f t="shared" si="13"/>
        <v>637</v>
      </c>
      <c r="G94" s="205">
        <f t="shared" si="14"/>
        <v>34213698.229999997</v>
      </c>
      <c r="H94" s="36">
        <f>COUNTIFS('CR IN BANK'!$E:$E,"="&amp;C94)</f>
        <v>0</v>
      </c>
      <c r="I94" s="206">
        <f>SUMIFS('CR IN BANK'!$K:$K,'CR IN BANK'!$E:$E,"="&amp;C94)</f>
        <v>0</v>
      </c>
      <c r="J94" s="37">
        <f t="shared" si="15"/>
        <v>0</v>
      </c>
      <c r="K94" s="37">
        <f t="shared" si="16"/>
        <v>0</v>
      </c>
    </row>
    <row r="95" spans="3:11" ht="12.75" customHeight="1" x14ac:dyDescent="0.2">
      <c r="C95" s="38">
        <f t="shared" si="17"/>
        <v>43734</v>
      </c>
      <c r="D95" s="33">
        <v>480</v>
      </c>
      <c r="E95" s="204">
        <v>36173109.399999999</v>
      </c>
      <c r="F95" s="36">
        <f t="shared" si="13"/>
        <v>480</v>
      </c>
      <c r="G95" s="205">
        <f t="shared" si="14"/>
        <v>36173109.399999999</v>
      </c>
      <c r="H95" s="36">
        <f>COUNTIFS('CR IN BANK'!$E:$E,"="&amp;C95)</f>
        <v>0</v>
      </c>
      <c r="I95" s="206">
        <f>SUMIFS('CR IN BANK'!$K:$K,'CR IN BANK'!$E:$E,"="&amp;C95)</f>
        <v>0</v>
      </c>
      <c r="J95" s="37">
        <f t="shared" si="15"/>
        <v>0</v>
      </c>
      <c r="K95" s="37">
        <f t="shared" si="16"/>
        <v>0</v>
      </c>
    </row>
    <row r="96" spans="3:11" ht="12.75" customHeight="1" x14ac:dyDescent="0.2">
      <c r="C96" s="38">
        <f t="shared" si="17"/>
        <v>43735</v>
      </c>
      <c r="D96" s="33">
        <v>620</v>
      </c>
      <c r="E96" s="204">
        <v>40320979.079999998</v>
      </c>
      <c r="F96" s="36">
        <f t="shared" si="13"/>
        <v>620</v>
      </c>
      <c r="G96" s="205">
        <f t="shared" si="14"/>
        <v>40320979.079999998</v>
      </c>
      <c r="H96" s="36">
        <f>COUNTIFS('CR IN BANK'!$E:$E,"="&amp;C96)</f>
        <v>0</v>
      </c>
      <c r="I96" s="206">
        <f>SUMIFS('CR IN BANK'!$K:$K,'CR IN BANK'!$E:$E,"="&amp;C96)</f>
        <v>0</v>
      </c>
      <c r="J96" s="37">
        <f t="shared" si="15"/>
        <v>0</v>
      </c>
      <c r="K96" s="37">
        <f t="shared" si="16"/>
        <v>0</v>
      </c>
    </row>
    <row r="97" spans="1:11" ht="12.75" customHeight="1" x14ac:dyDescent="0.2">
      <c r="C97" s="38">
        <f t="shared" si="17"/>
        <v>43736</v>
      </c>
      <c r="D97" s="33"/>
      <c r="E97" s="204"/>
      <c r="F97" s="36">
        <f t="shared" si="13"/>
        <v>0</v>
      </c>
      <c r="G97" s="205">
        <f t="shared" si="14"/>
        <v>0</v>
      </c>
      <c r="H97" s="36">
        <f>COUNTIFS('CR IN BANK'!$E:$E,"="&amp;C97)</f>
        <v>0</v>
      </c>
      <c r="I97" s="206">
        <f>SUMIFS('CR IN BANK'!$K:$K,'CR IN BANK'!$E:$E,"="&amp;C97)</f>
        <v>0</v>
      </c>
      <c r="J97" s="37" t="e">
        <f t="shared" si="15"/>
        <v>#DIV/0!</v>
      </c>
      <c r="K97" s="37" t="e">
        <f t="shared" si="16"/>
        <v>#DIV/0!</v>
      </c>
    </row>
    <row r="98" spans="1:11" ht="12.75" customHeight="1" x14ac:dyDescent="0.2">
      <c r="C98" s="38">
        <f t="shared" si="17"/>
        <v>43737</v>
      </c>
      <c r="D98" s="33"/>
      <c r="E98" s="204"/>
      <c r="F98" s="36">
        <f t="shared" si="13"/>
        <v>0</v>
      </c>
      <c r="G98" s="205">
        <f t="shared" si="14"/>
        <v>0</v>
      </c>
      <c r="H98" s="36">
        <f>COUNTIFS('CR IN BANK'!$E:$E,"="&amp;C98)</f>
        <v>0</v>
      </c>
      <c r="I98" s="206">
        <f>SUMIFS('CR IN BANK'!$K:$K,'CR IN BANK'!$E:$E,"="&amp;C98)</f>
        <v>0</v>
      </c>
      <c r="J98" s="37" t="e">
        <f t="shared" si="15"/>
        <v>#DIV/0!</v>
      </c>
      <c r="K98" s="37" t="e">
        <f t="shared" si="16"/>
        <v>#DIV/0!</v>
      </c>
    </row>
    <row r="99" spans="1:11" ht="12.75" customHeight="1" x14ac:dyDescent="0.2">
      <c r="C99" s="38">
        <f t="shared" si="17"/>
        <v>43738</v>
      </c>
      <c r="D99" s="33"/>
      <c r="E99" s="204"/>
      <c r="F99" s="36">
        <f t="shared" si="13"/>
        <v>0</v>
      </c>
      <c r="G99" s="205">
        <f t="shared" si="14"/>
        <v>0</v>
      </c>
      <c r="H99" s="36">
        <f>COUNTIFS('CR IN BANK'!$E:$E,"="&amp;C99)</f>
        <v>0</v>
      </c>
      <c r="I99" s="206">
        <f>SUMIFS('CR IN BANK'!$K:$K,'CR IN BANK'!$E:$E,"="&amp;C99)</f>
        <v>0</v>
      </c>
      <c r="J99" s="37" t="e">
        <f t="shared" si="15"/>
        <v>#DIV/0!</v>
      </c>
      <c r="K99" s="37" t="e">
        <f t="shared" si="16"/>
        <v>#DIV/0!</v>
      </c>
    </row>
    <row r="100" spans="1:11" ht="12.75" customHeight="1" x14ac:dyDescent="0.2">
      <c r="C100" s="38">
        <f t="shared" si="17"/>
        <v>43739</v>
      </c>
      <c r="D100" s="33"/>
      <c r="E100" s="204"/>
      <c r="F100" s="36">
        <f t="shared" si="13"/>
        <v>0</v>
      </c>
      <c r="G100" s="205">
        <f t="shared" si="14"/>
        <v>0</v>
      </c>
      <c r="H100" s="36">
        <f>COUNTIFS('CR IN BANK'!$E:$E,"="&amp;C100)</f>
        <v>0</v>
      </c>
      <c r="I100" s="206">
        <f>SUMIFS('CR IN BANK'!$K:$K,'CR IN BANK'!$E:$E,"="&amp;C100)</f>
        <v>0</v>
      </c>
      <c r="J100" s="37" t="e">
        <f t="shared" si="15"/>
        <v>#DIV/0!</v>
      </c>
      <c r="K100" s="37" t="e">
        <f t="shared" si="16"/>
        <v>#DIV/0!</v>
      </c>
    </row>
    <row r="112" spans="1:11" x14ac:dyDescent="0.2">
      <c r="A112" s="18" t="s">
        <v>89</v>
      </c>
    </row>
  </sheetData>
  <mergeCells count="23">
    <mergeCell ref="D68:E68"/>
    <mergeCell ref="K3:K4"/>
    <mergeCell ref="C37:D37"/>
    <mergeCell ref="C68:C69"/>
    <mergeCell ref="E37:F37"/>
    <mergeCell ref="E22:F22"/>
    <mergeCell ref="K37:K38"/>
    <mergeCell ref="G22:H22"/>
    <mergeCell ref="C3:D3"/>
    <mergeCell ref="E3:F3"/>
    <mergeCell ref="C22:D22"/>
    <mergeCell ref="I22:J22"/>
    <mergeCell ref="G3:H3"/>
    <mergeCell ref="I3:J3"/>
    <mergeCell ref="L22:L23"/>
    <mergeCell ref="L3:L4"/>
    <mergeCell ref="F68:G68"/>
    <mergeCell ref="L37:L38"/>
    <mergeCell ref="H68:I68"/>
    <mergeCell ref="J68:K68"/>
    <mergeCell ref="K22:K23"/>
    <mergeCell ref="G37:H37"/>
    <mergeCell ref="I37:J3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"/>
  <sheetViews>
    <sheetView workbookViewId="0">
      <pane ySplit="5" topLeftCell="A6" activePane="bottomLeft" state="frozen"/>
      <selection activeCell="G24" sqref="G24"/>
      <selection pane="bottomLeft" activeCell="F16" sqref="F16"/>
    </sheetView>
  </sheetViews>
  <sheetFormatPr defaultColWidth="9.140625" defaultRowHeight="15" x14ac:dyDescent="0.25"/>
  <cols>
    <col min="1" max="1" width="11.7109375" style="39" bestFit="1" customWidth="1"/>
    <col min="2" max="2" width="9.7109375" style="39" bestFit="1" customWidth="1"/>
    <col min="3" max="3" width="11.28515625" style="39" customWidth="1"/>
    <col min="4" max="4" width="10" style="39" bestFit="1" customWidth="1"/>
    <col min="5" max="5" width="10.7109375" style="90" bestFit="1" customWidth="1"/>
    <col min="6" max="6" width="43.42578125" style="39" bestFit="1" customWidth="1"/>
    <col min="7" max="7" width="14.42578125" style="91" bestFit="1" customWidth="1"/>
    <col min="8" max="8" width="6.42578125" style="39" bestFit="1" customWidth="1"/>
    <col min="9" max="9" width="11.42578125" style="119" bestFit="1" customWidth="1"/>
    <col min="10" max="10" width="15.5703125" style="207" bestFit="1" customWidth="1"/>
    <col min="11" max="11" width="13.28515625" style="207" bestFit="1" customWidth="1"/>
    <col min="12" max="12" width="20.7109375" style="207" bestFit="1" customWidth="1"/>
    <col min="13" max="13" width="6.5703125" style="207" bestFit="1" customWidth="1"/>
    <col min="14" max="14" width="74" style="73" bestFit="1" customWidth="1"/>
    <col min="15" max="15" width="50.42578125" style="39" bestFit="1" customWidth="1"/>
    <col min="16" max="16" width="15.28515625" style="39" bestFit="1" customWidth="1"/>
    <col min="17" max="18" width="9.140625" style="39" customWidth="1"/>
    <col min="19" max="16384" width="9.140625" style="39"/>
  </cols>
  <sheetData>
    <row r="1" spans="1:16" s="87" customFormat="1" x14ac:dyDescent="0.25">
      <c r="A1" s="86" t="s">
        <v>90</v>
      </c>
      <c r="B1" s="208">
        <f>'TOP SHEET'!$J$5</f>
        <v>45323</v>
      </c>
      <c r="C1" s="39"/>
      <c r="D1" s="39"/>
      <c r="E1" s="102" t="s">
        <v>91</v>
      </c>
      <c r="F1" s="103" t="s">
        <v>21</v>
      </c>
      <c r="G1" s="103" t="s">
        <v>92</v>
      </c>
      <c r="H1" s="74"/>
      <c r="I1" s="119"/>
      <c r="J1" s="207"/>
      <c r="K1" s="207"/>
      <c r="L1" s="207"/>
      <c r="M1" s="207"/>
      <c r="N1" s="73"/>
      <c r="O1" s="39"/>
      <c r="P1" s="39"/>
    </row>
    <row r="2" spans="1:16" s="87" customFormat="1" x14ac:dyDescent="0.25">
      <c r="A2" s="88" t="s">
        <v>93</v>
      </c>
      <c r="B2" s="209">
        <f>'TOP SHEET'!$D$2</f>
        <v>45336</v>
      </c>
      <c r="C2" s="39"/>
      <c r="D2" s="39"/>
      <c r="E2" s="104" t="s">
        <v>94</v>
      </c>
      <c r="F2" s="103">
        <f>COUNTIF(M:M,E2)</f>
        <v>0</v>
      </c>
      <c r="G2" s="156">
        <f>SUMIF($M:$M,E2,$I:$I)</f>
        <v>0</v>
      </c>
      <c r="H2" s="74"/>
      <c r="I2" s="119"/>
      <c r="J2" s="207"/>
      <c r="K2" s="207"/>
      <c r="L2" s="207"/>
      <c r="M2" s="207"/>
      <c r="N2" s="73"/>
      <c r="O2" s="74"/>
      <c r="P2" s="39"/>
    </row>
    <row r="3" spans="1:16" s="87" customFormat="1" x14ac:dyDescent="0.25">
      <c r="A3" s="74"/>
      <c r="B3" s="74"/>
      <c r="C3" s="89"/>
      <c r="D3" s="210"/>
      <c r="E3" s="90"/>
      <c r="F3" s="39"/>
      <c r="G3" s="90"/>
      <c r="H3" s="74"/>
      <c r="I3" s="119"/>
      <c r="J3" s="207"/>
      <c r="K3" s="207"/>
      <c r="L3" s="207"/>
      <c r="M3" s="207"/>
      <c r="N3" s="73"/>
      <c r="O3" s="39"/>
      <c r="P3" s="39"/>
    </row>
    <row r="4" spans="1:16" x14ac:dyDescent="0.25">
      <c r="A4" s="9" t="str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>&gt; 361 Days</v>
      </c>
      <c r="B4" s="14">
        <f>$B$2-E4</f>
        <v>45336</v>
      </c>
      <c r="C4" s="9" t="str">
        <f>IF(B4&lt;=4,"Within SLA",IF(B4&gt;4,"Beyond SLA"))</f>
        <v>Beyond SLA</v>
      </c>
      <c r="D4" s="9" t="str">
        <f>IF(EDATE('DR IN BANK'!$B$1,-12)-E4&gt;0,CONCATENATE("&lt; ",TEXT(EDATE('DR IN BANK'!$B$1,-12),"mmm"),"_",TEXT(EDATE('DR IN BANK'!$B$1,-12),"yyyyyyyy")),CONCATENATE(TEXT(E4,"mmm"),"_",TEXT(E4,"yyyy")))</f>
        <v>&lt; Feb_2023</v>
      </c>
      <c r="E4" s="74"/>
      <c r="F4" s="157"/>
      <c r="G4" s="74"/>
      <c r="H4" s="158"/>
      <c r="I4" s="74"/>
      <c r="J4" s="74"/>
      <c r="K4" s="74"/>
      <c r="L4" s="74"/>
      <c r="M4" s="74"/>
      <c r="N4" s="159"/>
      <c r="O4" s="74"/>
      <c r="P4" s="74"/>
    </row>
    <row r="5" spans="1:16" s="92" customFormat="1" ht="20.25" customHeight="1" x14ac:dyDescent="0.25">
      <c r="A5" s="139" t="s">
        <v>16</v>
      </c>
      <c r="B5" s="140" t="s">
        <v>95</v>
      </c>
      <c r="C5" s="103" t="s">
        <v>96</v>
      </c>
      <c r="D5" s="103" t="s">
        <v>97</v>
      </c>
      <c r="E5" s="141" t="s">
        <v>98</v>
      </c>
      <c r="F5" s="142" t="s">
        <v>99</v>
      </c>
      <c r="G5" s="140" t="s">
        <v>100</v>
      </c>
      <c r="H5" s="140" t="s">
        <v>101</v>
      </c>
      <c r="I5" s="143" t="s">
        <v>102</v>
      </c>
      <c r="J5" s="211" t="s">
        <v>103</v>
      </c>
      <c r="K5" s="144" t="s">
        <v>104</v>
      </c>
      <c r="L5" s="117" t="s">
        <v>105</v>
      </c>
      <c r="M5" s="117" t="s">
        <v>106</v>
      </c>
      <c r="N5" s="135" t="s">
        <v>107</v>
      </c>
      <c r="O5" s="136" t="s">
        <v>108</v>
      </c>
      <c r="P5" s="137" t="s">
        <v>109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Q5"/>
  <sheetViews>
    <sheetView zoomScaleNormal="100" workbookViewId="0">
      <pane ySplit="5" topLeftCell="A52" activePane="bottomLeft" state="frozen"/>
      <selection activeCell="A5" sqref="A5:AK8"/>
      <selection pane="bottomLeft" activeCell="A6" sqref="A6:AG969"/>
    </sheetView>
  </sheetViews>
  <sheetFormatPr defaultColWidth="9.140625" defaultRowHeight="15" x14ac:dyDescent="0.25"/>
  <cols>
    <col min="1" max="1" width="12.7109375" style="10" bestFit="1" customWidth="1"/>
    <col min="2" max="2" width="9.7109375" style="10" bestFit="1" customWidth="1"/>
    <col min="3" max="3" width="11.28515625" style="10" bestFit="1" customWidth="1"/>
    <col min="4" max="4" width="9.7109375" style="10" bestFit="1" customWidth="1"/>
    <col min="5" max="5" width="12.42578125" style="11" bestFit="1" customWidth="1"/>
    <col min="6" max="6" width="11.5703125" style="11" bestFit="1" customWidth="1"/>
    <col min="7" max="7" width="18" style="12" bestFit="1" customWidth="1"/>
    <col min="8" max="8" width="32" style="10" bestFit="1" customWidth="1"/>
    <col min="9" max="9" width="25.85546875" style="10" bestFit="1" customWidth="1"/>
    <col min="10" max="10" width="30" style="10" bestFit="1" customWidth="1"/>
    <col min="11" max="11" width="40.28515625" style="12" bestFit="1" customWidth="1"/>
    <col min="12" max="12" width="40.7109375" style="12" bestFit="1" customWidth="1"/>
    <col min="13" max="13" width="16.140625" style="12" bestFit="1" customWidth="1"/>
    <col min="14" max="14" width="19.85546875" style="12" bestFit="1" customWidth="1"/>
    <col min="15" max="15" width="19.7109375" style="12" bestFit="1" customWidth="1"/>
    <col min="16" max="16" width="8.85546875" style="12" bestFit="1" customWidth="1"/>
    <col min="17" max="17" width="11.140625" style="13" bestFit="1" customWidth="1"/>
    <col min="18" max="18" width="8.140625" style="12" bestFit="1" customWidth="1"/>
    <col min="19" max="19" width="10.140625" style="11" bestFit="1" customWidth="1"/>
    <col min="20" max="20" width="10" style="12" bestFit="1" customWidth="1"/>
    <col min="21" max="21" width="9.5703125" style="12" bestFit="1" customWidth="1"/>
    <col min="22" max="22" width="11.42578125" style="12" bestFit="1" customWidth="1"/>
    <col min="23" max="23" width="9.28515625" style="11" bestFit="1" customWidth="1"/>
    <col min="24" max="24" width="8.140625" style="11" bestFit="1" customWidth="1"/>
    <col min="25" max="25" width="10.42578125" style="10" bestFit="1" customWidth="1"/>
    <col min="26" max="26" width="8.85546875" style="160" bestFit="1" customWidth="1"/>
    <col min="27" max="27" width="7.42578125" style="12" bestFit="1" customWidth="1"/>
    <col min="28" max="28" width="16.7109375" style="12" bestFit="1" customWidth="1"/>
    <col min="29" max="32" width="32" style="12" bestFit="1" customWidth="1"/>
    <col min="33" max="33" width="17.85546875" style="10" bestFit="1" customWidth="1"/>
    <col min="34" max="34" width="70.28515625" style="10" bestFit="1" customWidth="1"/>
    <col min="35" max="35" width="70.28515625" style="13" bestFit="1" customWidth="1"/>
    <col min="36" max="36" width="31" style="10" bestFit="1" customWidth="1"/>
    <col min="37" max="37" width="5.5703125" style="10" bestFit="1" customWidth="1"/>
    <col min="38" max="38" width="13.140625" style="10" bestFit="1" customWidth="1"/>
    <col min="39" max="40" width="9.140625" style="10" customWidth="1"/>
    <col min="41" max="16384" width="9.140625" style="10"/>
  </cols>
  <sheetData>
    <row r="1" spans="1:43" x14ac:dyDescent="0.25">
      <c r="A1" s="162" t="s">
        <v>90</v>
      </c>
      <c r="B1" s="212">
        <f>'TOP SHEET'!$J$5</f>
        <v>45323</v>
      </c>
      <c r="C1" s="74"/>
      <c r="D1" s="74"/>
      <c r="E1" s="163" t="s">
        <v>91</v>
      </c>
      <c r="F1" s="131" t="s">
        <v>21</v>
      </c>
      <c r="G1" s="130" t="s">
        <v>92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164"/>
      <c r="AJ1" s="74"/>
      <c r="AK1" s="74"/>
      <c r="AL1" s="74"/>
      <c r="AM1" s="74"/>
      <c r="AN1" s="74"/>
      <c r="AO1" s="74"/>
      <c r="AP1" s="74"/>
      <c r="AQ1" s="74"/>
    </row>
    <row r="2" spans="1:43" x14ac:dyDescent="0.25">
      <c r="A2" s="165" t="s">
        <v>93</v>
      </c>
      <c r="B2" s="213">
        <f>'TOP SHEET'!$D$2</f>
        <v>45336</v>
      </c>
      <c r="C2" s="74"/>
      <c r="D2" s="74"/>
      <c r="E2" s="166" t="s">
        <v>28</v>
      </c>
      <c r="F2" s="167">
        <f>COUNTIF($AA:$AA,E2)</f>
        <v>0</v>
      </c>
      <c r="G2" s="156">
        <f>SUM(Q:Q)</f>
        <v>0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168"/>
      <c r="AH2" s="74"/>
      <c r="AI2" s="74"/>
      <c r="AJ2" s="74"/>
      <c r="AK2" s="74"/>
      <c r="AL2" s="74"/>
      <c r="AM2" s="74"/>
      <c r="AN2" s="74"/>
      <c r="AO2" s="74"/>
      <c r="AP2" s="74"/>
      <c r="AQ2" s="74"/>
    </row>
    <row r="3" spans="1:43" x14ac:dyDescent="0.25">
      <c r="A3" s="74"/>
      <c r="B3" s="74"/>
      <c r="C3" s="169"/>
      <c r="D3" s="214"/>
      <c r="E3" s="74"/>
      <c r="F3" s="74"/>
      <c r="G3" s="74"/>
      <c r="H3" s="170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168"/>
      <c r="AH3" s="171"/>
      <c r="AI3" s="74"/>
      <c r="AJ3" s="74"/>
      <c r="AK3" s="74"/>
      <c r="AL3" s="74"/>
      <c r="AM3" s="74"/>
      <c r="AN3" s="74"/>
      <c r="AO3" s="74" t="s">
        <v>112</v>
      </c>
      <c r="AP3" s="74" t="s">
        <v>112</v>
      </c>
      <c r="AQ3" s="74" t="s">
        <v>113</v>
      </c>
    </row>
    <row r="4" spans="1:43" x14ac:dyDescent="0.25">
      <c r="A4" s="9" t="str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>&gt; 361 Days</v>
      </c>
      <c r="B4" s="14">
        <f>$B$2-E4</f>
        <v>45336</v>
      </c>
      <c r="C4" s="9" t="str">
        <f>IF(B4&lt;=4,"Within SLA",IF(B4&gt;4,"Beyond SLA"))</f>
        <v>Beyond SLA</v>
      </c>
      <c r="D4" s="9" t="str">
        <f>IF(EDATE('DR IN BANK'!$B$1,-12)-E4&gt;0,CONCATENATE("&lt; ",TEXT(EDATE('DR IN BANK'!$B$1,-12),"mmm"),"_",TEXT(EDATE('DR IN BANK'!$B$1,-12),"yyyyyyyy")),CONCATENATE(TEXT(E4,"mmm"),"_",TEXT(E4,"yyyy")))</f>
        <v>&lt; Feb_2023</v>
      </c>
      <c r="E4" s="74"/>
      <c r="F4" s="74"/>
      <c r="G4" s="74"/>
      <c r="H4" s="172"/>
      <c r="I4" s="120"/>
      <c r="J4" s="172"/>
      <c r="K4" s="164"/>
      <c r="L4" s="164"/>
      <c r="M4" s="164"/>
      <c r="N4" s="164"/>
      <c r="O4" s="122"/>
      <c r="P4" s="164"/>
      <c r="Q4" s="74"/>
      <c r="R4" s="164"/>
      <c r="S4" s="74"/>
      <c r="T4" s="164"/>
      <c r="U4" s="164"/>
      <c r="V4" s="164"/>
      <c r="W4" s="74"/>
      <c r="X4" s="74"/>
      <c r="Y4" s="74"/>
      <c r="Z4" s="74"/>
      <c r="AA4" s="164"/>
      <c r="AB4" s="164"/>
      <c r="AC4" s="164"/>
      <c r="AD4" s="164"/>
      <c r="AE4" s="164"/>
      <c r="AF4" s="164"/>
      <c r="AG4" s="173"/>
      <c r="AH4" s="172"/>
      <c r="AI4" s="74"/>
      <c r="AJ4" s="74"/>
      <c r="AK4" s="74"/>
      <c r="AL4" s="74"/>
      <c r="AM4" s="74"/>
      <c r="AN4" s="74"/>
      <c r="AO4" s="74" t="s">
        <v>114</v>
      </c>
      <c r="AP4" s="74" t="s">
        <v>115</v>
      </c>
      <c r="AQ4" s="74" t="s">
        <v>113</v>
      </c>
    </row>
    <row r="5" spans="1:43" s="96" customFormat="1" ht="17.25" customHeight="1" x14ac:dyDescent="0.25">
      <c r="A5" s="139" t="s">
        <v>16</v>
      </c>
      <c r="B5" s="142" t="s">
        <v>95</v>
      </c>
      <c r="C5" s="174" t="s">
        <v>96</v>
      </c>
      <c r="D5" s="174" t="s">
        <v>97</v>
      </c>
      <c r="E5" s="175" t="s">
        <v>116</v>
      </c>
      <c r="F5" s="176" t="s">
        <v>117</v>
      </c>
      <c r="G5" s="175" t="s">
        <v>118</v>
      </c>
      <c r="H5" s="177" t="s">
        <v>119</v>
      </c>
      <c r="I5" s="142" t="s">
        <v>120</v>
      </c>
      <c r="J5" s="211" t="s">
        <v>121</v>
      </c>
      <c r="K5" s="178" t="s">
        <v>122</v>
      </c>
      <c r="L5" s="179" t="s">
        <v>123</v>
      </c>
      <c r="M5" s="180" t="s">
        <v>124</v>
      </c>
      <c r="N5" s="179" t="s">
        <v>125</v>
      </c>
      <c r="O5" s="179" t="s">
        <v>126</v>
      </c>
      <c r="P5" s="179" t="s">
        <v>127</v>
      </c>
      <c r="Q5" s="180" t="s">
        <v>128</v>
      </c>
      <c r="R5" s="179" t="s">
        <v>88</v>
      </c>
      <c r="S5" s="179" t="s">
        <v>129</v>
      </c>
      <c r="T5" s="179" t="s">
        <v>130</v>
      </c>
      <c r="U5" s="179" t="s">
        <v>131</v>
      </c>
      <c r="V5" s="179" t="s">
        <v>132</v>
      </c>
      <c r="W5" s="179" t="s">
        <v>133</v>
      </c>
      <c r="X5" s="180" t="s">
        <v>88</v>
      </c>
      <c r="Y5" s="179" t="s">
        <v>134</v>
      </c>
      <c r="Z5" s="179" t="s">
        <v>135</v>
      </c>
      <c r="AA5" s="179" t="s">
        <v>136</v>
      </c>
      <c r="AB5" s="179" t="s">
        <v>137</v>
      </c>
      <c r="AC5" s="179" t="s">
        <v>138</v>
      </c>
      <c r="AD5" s="179" t="s">
        <v>139</v>
      </c>
      <c r="AE5" s="179" t="s">
        <v>140</v>
      </c>
      <c r="AF5" s="179" t="s">
        <v>141</v>
      </c>
      <c r="AG5" s="179" t="s">
        <v>142</v>
      </c>
      <c r="AH5" s="135" t="s">
        <v>107</v>
      </c>
      <c r="AI5" s="136" t="s">
        <v>108</v>
      </c>
      <c r="AJ5" s="137" t="s">
        <v>109</v>
      </c>
      <c r="AK5" s="123"/>
      <c r="AL5" s="74"/>
      <c r="AM5" s="74"/>
      <c r="AN5" s="74"/>
      <c r="AO5" s="74"/>
      <c r="AP5" s="74"/>
      <c r="AQ5" s="7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5"/>
  <sheetViews>
    <sheetView zoomScaleNormal="100" workbookViewId="0">
      <pane ySplit="5" topLeftCell="A6" activePane="bottomLeft" state="frozen"/>
      <selection activeCell="H5" sqref="H5"/>
      <selection pane="bottomLeft" activeCell="A6" sqref="A6:X733"/>
    </sheetView>
  </sheetViews>
  <sheetFormatPr defaultColWidth="9.140625" defaultRowHeight="15" x14ac:dyDescent="0.25"/>
  <cols>
    <col min="1" max="1" width="11.5703125" style="93" bestFit="1" customWidth="1"/>
    <col min="2" max="2" width="9.7109375" style="93" bestFit="1" customWidth="1"/>
    <col min="3" max="3" width="11.28515625" style="93" customWidth="1"/>
    <col min="4" max="4" width="9.7109375" style="93" bestFit="1" customWidth="1"/>
    <col min="5" max="5" width="10.42578125" style="109" bestFit="1" customWidth="1"/>
    <col min="6" max="6" width="18.42578125" style="93" bestFit="1" customWidth="1"/>
    <col min="7" max="7" width="33.140625" style="94" bestFit="1" customWidth="1"/>
    <col min="8" max="8" width="10.85546875" style="95" bestFit="1" customWidth="1"/>
    <col min="9" max="9" width="7.28515625" style="95" bestFit="1" customWidth="1"/>
    <col min="10" max="10" width="35.7109375" style="94" bestFit="1" customWidth="1"/>
    <col min="11" max="11" width="16.140625" style="95" bestFit="1" customWidth="1"/>
    <col min="12" max="12" width="10.5703125" style="95" bestFit="1" customWidth="1"/>
    <col min="13" max="13" width="11.28515625" style="95" bestFit="1" customWidth="1"/>
    <col min="14" max="14" width="12.42578125" style="109" bestFit="1" customWidth="1"/>
    <col min="15" max="15" width="9.140625" style="95" bestFit="1" customWidth="1"/>
    <col min="16" max="16" width="10.140625" style="95" bestFit="1" customWidth="1"/>
    <col min="17" max="17" width="9.42578125" style="153" bestFit="1" customWidth="1"/>
    <col min="18" max="18" width="7" style="111" bestFit="1" customWidth="1"/>
    <col min="19" max="19" width="17.85546875" style="110" bestFit="1" customWidth="1"/>
    <col min="20" max="20" width="13.140625" style="110" bestFit="1" customWidth="1"/>
    <col min="21" max="21" width="11" style="110" bestFit="1" customWidth="1"/>
    <col min="22" max="22" width="13.85546875" style="93" bestFit="1" customWidth="1"/>
    <col min="23" max="23" width="23.5703125" style="95" bestFit="1" customWidth="1"/>
    <col min="24" max="24" width="15.85546875" style="110" customWidth="1"/>
    <col min="25" max="25" width="30.140625" style="94" bestFit="1" customWidth="1"/>
    <col min="26" max="26" width="30.140625" style="215" bestFit="1" customWidth="1"/>
    <col min="27" max="27" width="15.5703125" style="95" bestFit="1" customWidth="1"/>
    <col min="28" max="28" width="9.7109375" style="109" bestFit="1" customWidth="1"/>
    <col min="29" max="30" width="8.42578125" style="95" bestFit="1" customWidth="1"/>
    <col min="31" max="32" width="9.140625" style="95" customWidth="1"/>
    <col min="33" max="16384" width="9.140625" style="95"/>
  </cols>
  <sheetData>
    <row r="1" spans="1:31" s="93" customFormat="1" x14ac:dyDescent="0.25">
      <c r="A1" s="145" t="s">
        <v>90</v>
      </c>
      <c r="B1" s="216">
        <f>'TOP SHEET'!$J$5</f>
        <v>45323</v>
      </c>
      <c r="C1" s="95"/>
      <c r="D1" s="95"/>
      <c r="E1" s="109"/>
      <c r="F1" s="95"/>
      <c r="G1" s="95"/>
      <c r="H1" s="95"/>
      <c r="I1" s="95"/>
      <c r="J1" s="95"/>
      <c r="K1" s="146" t="s">
        <v>143</v>
      </c>
      <c r="L1" s="147" t="s">
        <v>21</v>
      </c>
      <c r="M1" s="147" t="s">
        <v>92</v>
      </c>
      <c r="N1" s="109"/>
      <c r="O1" s="95"/>
      <c r="P1" s="95"/>
      <c r="Q1" s="153"/>
      <c r="R1" s="95"/>
      <c r="S1" s="110"/>
      <c r="T1" s="110"/>
      <c r="U1" s="110"/>
      <c r="V1" s="74"/>
      <c r="W1" s="95"/>
      <c r="X1" s="110"/>
      <c r="Y1" s="95"/>
      <c r="Z1" s="95"/>
      <c r="AA1" s="95"/>
      <c r="AB1" s="109"/>
      <c r="AC1" s="148"/>
      <c r="AD1" s="95"/>
      <c r="AE1" s="74"/>
    </row>
    <row r="2" spans="1:31" s="93" customFormat="1" x14ac:dyDescent="0.25">
      <c r="A2" s="149" t="s">
        <v>93</v>
      </c>
      <c r="B2" s="217">
        <f>'TOP SHEET'!$D$2</f>
        <v>45336</v>
      </c>
      <c r="C2" s="95"/>
      <c r="D2" s="95"/>
      <c r="E2" s="109"/>
      <c r="F2" s="95"/>
      <c r="G2" s="95"/>
      <c r="H2" s="95"/>
      <c r="I2" s="95"/>
      <c r="J2" s="95"/>
      <c r="K2" s="146" t="s">
        <v>30</v>
      </c>
      <c r="L2" s="167">
        <f>COUNTIF($R:$R,K2)</f>
        <v>0</v>
      </c>
      <c r="M2" s="156">
        <f>SUMIF($R:$R,K2,$Q:$Q)</f>
        <v>0</v>
      </c>
      <c r="N2" s="109"/>
      <c r="O2" s="95"/>
      <c r="P2" s="95"/>
      <c r="Q2" s="153"/>
      <c r="R2" s="95"/>
      <c r="S2" s="110"/>
      <c r="T2" s="110"/>
      <c r="U2" s="110"/>
      <c r="V2" s="150"/>
      <c r="W2" s="95"/>
      <c r="X2" s="110"/>
      <c r="Y2" s="95"/>
      <c r="Z2" s="95"/>
      <c r="AA2" s="95"/>
      <c r="AB2" s="109"/>
      <c r="AC2" s="74"/>
      <c r="AD2" s="95"/>
      <c r="AE2" s="74"/>
    </row>
    <row r="3" spans="1:31" s="93" customFormat="1" x14ac:dyDescent="0.25">
      <c r="A3" s="95"/>
      <c r="B3" s="95"/>
      <c r="C3" s="95"/>
      <c r="D3" s="218"/>
      <c r="E3" s="109"/>
      <c r="F3" s="95"/>
      <c r="G3" s="151" t="s">
        <v>144</v>
      </c>
      <c r="H3" s="95"/>
      <c r="I3" s="95"/>
      <c r="J3" s="95"/>
      <c r="K3" s="152"/>
      <c r="L3" s="95"/>
      <c r="M3" s="95"/>
      <c r="N3" s="109"/>
      <c r="O3" s="95"/>
      <c r="P3" s="95"/>
      <c r="Q3" s="153"/>
      <c r="R3" s="111"/>
      <c r="S3" s="118">
        <v>667331.10000000009</v>
      </c>
      <c r="T3" s="110"/>
      <c r="U3" s="110"/>
      <c r="V3" s="95"/>
      <c r="W3" s="95"/>
      <c r="X3" s="110"/>
      <c r="Y3" s="95"/>
      <c r="Z3" s="95"/>
      <c r="AA3" s="95"/>
      <c r="AB3" s="109"/>
      <c r="AC3" s="95"/>
      <c r="AD3" s="95"/>
      <c r="AE3" s="74"/>
    </row>
    <row r="4" spans="1:31" s="93" customFormat="1" x14ac:dyDescent="0.25">
      <c r="A4" s="9" t="str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>&gt; 361 Days</v>
      </c>
      <c r="B4" s="14">
        <f>$B$2-E4</f>
        <v>45336</v>
      </c>
      <c r="C4" s="9" t="str">
        <f>IF(B4&lt;=4,"Within SLA",IF(B4&gt;4,"Beyond SLA"))</f>
        <v>Beyond SLA</v>
      </c>
      <c r="D4" s="9" t="str">
        <f>IF(EDATE('DR IN BANK'!$B$1,-12)-E4&gt;0,CONCATENATE("&lt; ",TEXT(EDATE('DR IN BANK'!$B$1,-12),"mmm"),"_",TEXT(EDATE('DR IN BANK'!$B$1,-12),"yyyyyyyy")),CONCATENATE(TEXT(E4,"mmm"),"_",TEXT(E4,"yyyy")))</f>
        <v>&lt; Feb_2023</v>
      </c>
      <c r="E4" s="109"/>
      <c r="F4" s="95"/>
      <c r="G4" s="95"/>
      <c r="H4" s="95"/>
      <c r="I4" s="95"/>
      <c r="J4" s="95"/>
      <c r="K4" s="95"/>
      <c r="L4" s="95"/>
      <c r="M4" s="95"/>
      <c r="N4" s="109"/>
      <c r="O4" s="95"/>
      <c r="P4" s="95"/>
      <c r="Q4" s="153"/>
      <c r="R4" s="111" t="s">
        <v>145</v>
      </c>
      <c r="S4" s="154">
        <v>667331.10000000009</v>
      </c>
      <c r="T4" s="110"/>
      <c r="U4" s="110"/>
      <c r="V4" s="95"/>
      <c r="W4" s="95"/>
      <c r="X4" s="110"/>
      <c r="Y4" s="95"/>
      <c r="Z4" s="74"/>
      <c r="AA4" s="120"/>
      <c r="AB4" s="109"/>
      <c r="AC4" s="95"/>
      <c r="AD4" s="95"/>
      <c r="AE4" s="74"/>
    </row>
    <row r="5" spans="1:31" ht="18.75" customHeight="1" x14ac:dyDescent="0.25">
      <c r="A5" s="181" t="s">
        <v>16</v>
      </c>
      <c r="B5" s="128" t="s">
        <v>95</v>
      </c>
      <c r="C5" s="128" t="s">
        <v>96</v>
      </c>
      <c r="D5" s="129" t="s">
        <v>97</v>
      </c>
      <c r="E5" s="131" t="s">
        <v>146</v>
      </c>
      <c r="F5" s="128" t="s">
        <v>147</v>
      </c>
      <c r="G5" s="128" t="s">
        <v>148</v>
      </c>
      <c r="H5" s="130" t="s">
        <v>149</v>
      </c>
      <c r="I5" s="128" t="s">
        <v>150</v>
      </c>
      <c r="J5" s="130" t="s">
        <v>151</v>
      </c>
      <c r="K5" s="128" t="s">
        <v>152</v>
      </c>
      <c r="L5" s="128" t="s">
        <v>153</v>
      </c>
      <c r="M5" s="128" t="s">
        <v>154</v>
      </c>
      <c r="N5" s="131" t="s">
        <v>155</v>
      </c>
      <c r="O5" s="132" t="s">
        <v>156</v>
      </c>
      <c r="P5" s="128" t="s">
        <v>157</v>
      </c>
      <c r="Q5" s="133" t="s">
        <v>22</v>
      </c>
      <c r="R5" s="134" t="s">
        <v>106</v>
      </c>
      <c r="S5" s="132" t="s">
        <v>158</v>
      </c>
      <c r="T5" s="130" t="s">
        <v>159</v>
      </c>
      <c r="U5" s="130" t="s">
        <v>160</v>
      </c>
      <c r="V5" s="130" t="s">
        <v>161</v>
      </c>
      <c r="W5" s="128" t="s">
        <v>162</v>
      </c>
      <c r="X5" s="132" t="s">
        <v>163</v>
      </c>
      <c r="Y5" s="135" t="s">
        <v>107</v>
      </c>
      <c r="Z5" s="136" t="s">
        <v>108</v>
      </c>
      <c r="AA5" s="137" t="s">
        <v>109</v>
      </c>
      <c r="AB5" s="138" t="s">
        <v>164</v>
      </c>
      <c r="AC5" s="76" t="s">
        <v>165</v>
      </c>
      <c r="AD5" s="76" t="s">
        <v>166</v>
      </c>
      <c r="AE5" s="74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5"/>
  <sheetViews>
    <sheetView zoomScaleNormal="100" workbookViewId="0">
      <pane ySplit="5" topLeftCell="A6" activePane="bottomLeft" state="frozen"/>
      <selection activeCell="T26" sqref="A1:AE27"/>
      <selection pane="bottomLeft" activeCell="G14" sqref="G14"/>
    </sheetView>
  </sheetViews>
  <sheetFormatPr defaultColWidth="9.140625" defaultRowHeight="15" x14ac:dyDescent="0.25"/>
  <cols>
    <col min="1" max="1" width="11.5703125" style="1" bestFit="1" customWidth="1"/>
    <col min="2" max="2" width="9.7109375" style="1" bestFit="1" customWidth="1"/>
    <col min="3" max="3" width="11.28515625" style="1" customWidth="1"/>
    <col min="4" max="4" width="9.7109375" style="1" bestFit="1" customWidth="1"/>
    <col min="5" max="5" width="10.42578125" style="6" bestFit="1" customWidth="1"/>
    <col min="6" max="6" width="18.28515625" style="1" bestFit="1" customWidth="1"/>
    <col min="7" max="7" width="92.28515625" style="8" bestFit="1" customWidth="1"/>
    <col min="8" max="8" width="10.85546875" style="2" customWidth="1"/>
    <col min="9" max="9" width="7.28515625" style="2" bestFit="1" customWidth="1"/>
    <col min="10" max="10" width="29.42578125" style="1" bestFit="1" customWidth="1"/>
    <col min="11" max="11" width="16.140625" style="2" customWidth="1"/>
    <col min="12" max="12" width="9.7109375" style="2" bestFit="1" customWidth="1"/>
    <col min="13" max="13" width="11.140625" style="2" bestFit="1" customWidth="1"/>
    <col min="14" max="14" width="12.42578125" style="3" customWidth="1"/>
    <col min="15" max="15" width="9.140625" style="2" customWidth="1"/>
    <col min="16" max="16" width="10.140625" style="2" bestFit="1" customWidth="1"/>
    <col min="17" max="17" width="10" style="5" bestFit="1" customWidth="1"/>
    <col min="18" max="18" width="7.140625" style="5" bestFit="1" customWidth="1"/>
    <col min="19" max="19" width="15.28515625" style="4" bestFit="1" customWidth="1"/>
    <col min="20" max="20" width="15.7109375" style="4" bestFit="1" customWidth="1"/>
    <col min="21" max="21" width="11" style="4" bestFit="1" customWidth="1"/>
    <col min="22" max="22" width="13.85546875" style="2" customWidth="1"/>
    <col min="23" max="23" width="14.5703125" style="2" bestFit="1" customWidth="1"/>
    <col min="24" max="24" width="15.85546875" style="2" customWidth="1"/>
    <col min="25" max="25" width="33.85546875" style="2" bestFit="1" customWidth="1"/>
    <col min="26" max="26" width="33.85546875" style="219" bestFit="1" customWidth="1"/>
    <col min="27" max="27" width="11.7109375" style="2" bestFit="1" customWidth="1"/>
    <col min="28" max="28" width="9.7109375" style="2" bestFit="1" customWidth="1"/>
    <col min="29" max="30" width="8.42578125" style="2" bestFit="1" customWidth="1"/>
    <col min="31" max="32" width="9.140625" style="2" customWidth="1"/>
    <col min="33" max="16384" width="9.140625" style="2"/>
  </cols>
  <sheetData>
    <row r="1" spans="1:30" s="1" customFormat="1" x14ac:dyDescent="0.25">
      <c r="A1" s="182" t="s">
        <v>90</v>
      </c>
      <c r="B1" s="220">
        <f>'TOP SHEET'!$J$5</f>
        <v>45323</v>
      </c>
      <c r="C1" s="74"/>
      <c r="D1" s="74"/>
      <c r="E1" s="6"/>
      <c r="F1" s="74"/>
      <c r="G1" s="6"/>
      <c r="H1" s="6"/>
      <c r="I1" s="6"/>
      <c r="J1" s="7"/>
      <c r="K1" s="99" t="s">
        <v>143</v>
      </c>
      <c r="L1" s="100" t="s">
        <v>21</v>
      </c>
      <c r="M1" s="100" t="s">
        <v>92</v>
      </c>
      <c r="N1" s="116"/>
      <c r="O1" s="74"/>
      <c r="P1" s="74"/>
      <c r="Q1" s="183"/>
      <c r="R1" s="183"/>
      <c r="S1" s="184"/>
      <c r="T1" s="184"/>
      <c r="U1" s="184"/>
      <c r="V1" s="6"/>
      <c r="W1" s="6"/>
      <c r="X1" s="6"/>
      <c r="Y1" s="74"/>
      <c r="Z1" s="6"/>
      <c r="AA1" s="74"/>
      <c r="AB1" s="74"/>
      <c r="AC1" s="74"/>
      <c r="AD1" s="74"/>
    </row>
    <row r="2" spans="1:30" s="1" customFormat="1" x14ac:dyDescent="0.25">
      <c r="A2" s="185" t="s">
        <v>93</v>
      </c>
      <c r="B2" s="221">
        <f>'TOP SHEET'!$D$2</f>
        <v>45336</v>
      </c>
      <c r="C2" s="74"/>
      <c r="D2" s="74"/>
      <c r="E2" s="6"/>
      <c r="F2" s="74"/>
      <c r="G2" s="6"/>
      <c r="H2" s="6"/>
      <c r="I2" s="6"/>
      <c r="J2" s="7"/>
      <c r="K2" s="99" t="s">
        <v>28</v>
      </c>
      <c r="L2" s="101">
        <f>COUNTIF($R$6:$R$1814,K2)</f>
        <v>0</v>
      </c>
      <c r="M2" s="100">
        <f>SUMIF($R$6:$R$2648,K2,$Q$6:$Q$2648)</f>
        <v>0</v>
      </c>
      <c r="N2" s="116"/>
      <c r="O2" s="74"/>
      <c r="P2" s="74"/>
      <c r="Q2" s="183"/>
      <c r="R2" s="183"/>
      <c r="S2" s="184"/>
      <c r="T2" s="118"/>
      <c r="U2" s="184"/>
      <c r="V2" s="184"/>
      <c r="W2" s="184"/>
      <c r="X2" s="6"/>
      <c r="Y2" s="74"/>
      <c r="Z2" s="116"/>
      <c r="AA2" s="74"/>
      <c r="AB2" s="74"/>
      <c r="AC2" s="74"/>
      <c r="AD2" s="74"/>
    </row>
    <row r="3" spans="1:30" s="1" customFormat="1" x14ac:dyDescent="0.25">
      <c r="A3" s="74"/>
      <c r="B3" s="74"/>
      <c r="C3" s="222"/>
      <c r="D3" s="222"/>
      <c r="E3" s="7"/>
      <c r="F3" s="74"/>
      <c r="G3" s="7"/>
      <c r="H3" s="6"/>
      <c r="I3" s="6"/>
      <c r="J3" s="74"/>
      <c r="K3" s="186"/>
      <c r="L3" s="6"/>
      <c r="M3" s="6"/>
      <c r="N3" s="116"/>
      <c r="O3" s="6"/>
      <c r="P3" s="6"/>
      <c r="Q3" s="183"/>
      <c r="R3" s="183"/>
      <c r="S3" s="183">
        <f>SUBTOTAL(9,Q:Q)</f>
        <v>0</v>
      </c>
      <c r="T3" s="118"/>
      <c r="U3" s="184"/>
      <c r="V3" s="74"/>
      <c r="W3" s="74"/>
      <c r="X3" s="6"/>
      <c r="Y3" s="74"/>
      <c r="Z3" s="74"/>
      <c r="AA3" s="74"/>
      <c r="AB3" s="74"/>
      <c r="AC3" s="74"/>
      <c r="AD3" s="74"/>
    </row>
    <row r="4" spans="1:30" s="1" customFormat="1" x14ac:dyDescent="0.25">
      <c r="A4" s="9" t="str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>&gt; 361 Days</v>
      </c>
      <c r="B4" s="14">
        <f>$B$2-E4</f>
        <v>45336</v>
      </c>
      <c r="C4" s="9" t="str">
        <f>IF(B4&lt;=4,"Within SLA",IF(B4&gt;4,"Beyond SLA"))</f>
        <v>Beyond SLA</v>
      </c>
      <c r="D4" s="9" t="str">
        <f>IF(EDATE('DR IN BANK'!$B$1,-12)-E4&gt;0,CONCATENATE("&lt; ",TEXT(EDATE('DR IN BANK'!$B$1,-12),"mmm"),"_",TEXT(EDATE('DR IN BANK'!$B$1,-12),"yyyyyyyy")),CONCATENATE(TEXT(E4,"mmm"),"_",TEXT(E4,"yyyy")))</f>
        <v>&lt; Feb_2023</v>
      </c>
      <c r="E4" s="6"/>
      <c r="F4" s="74"/>
      <c r="G4" s="6"/>
      <c r="H4" s="6"/>
      <c r="I4" s="6"/>
      <c r="J4" s="74"/>
      <c r="K4" s="6"/>
      <c r="L4" s="6"/>
      <c r="M4" s="6"/>
      <c r="N4" s="116"/>
      <c r="O4" s="6"/>
      <c r="P4" s="6"/>
      <c r="Q4" s="183"/>
      <c r="R4" s="120" t="s">
        <v>167</v>
      </c>
      <c r="S4" s="183">
        <f>S3-'DR IN LEDGER'!S3</f>
        <v>-667331.10000000009</v>
      </c>
      <c r="T4" s="184"/>
      <c r="U4" s="184"/>
      <c r="V4" s="74"/>
      <c r="W4" s="6"/>
      <c r="X4" s="6"/>
      <c r="Y4" s="74"/>
      <c r="Z4" s="74"/>
      <c r="AA4" s="74"/>
      <c r="AB4" s="74"/>
      <c r="AC4" s="74"/>
      <c r="AD4" s="74"/>
    </row>
    <row r="5" spans="1:30" s="6" customFormat="1" ht="19.5" customHeight="1" x14ac:dyDescent="0.25">
      <c r="A5" s="181" t="s">
        <v>16</v>
      </c>
      <c r="B5" s="128" t="s">
        <v>95</v>
      </c>
      <c r="C5" s="128" t="s">
        <v>96</v>
      </c>
      <c r="D5" s="129" t="s">
        <v>97</v>
      </c>
      <c r="E5" s="161" t="s">
        <v>146</v>
      </c>
      <c r="F5" s="128" t="s">
        <v>147</v>
      </c>
      <c r="G5" s="128" t="s">
        <v>148</v>
      </c>
      <c r="H5" s="130" t="s">
        <v>149</v>
      </c>
      <c r="I5" s="128" t="s">
        <v>150</v>
      </c>
      <c r="J5" s="128" t="s">
        <v>151</v>
      </c>
      <c r="K5" s="128" t="s">
        <v>152</v>
      </c>
      <c r="L5" s="128" t="s">
        <v>153</v>
      </c>
      <c r="M5" s="128" t="s">
        <v>154</v>
      </c>
      <c r="N5" s="131" t="s">
        <v>155</v>
      </c>
      <c r="O5" s="132" t="s">
        <v>156</v>
      </c>
      <c r="P5" s="128" t="s">
        <v>157</v>
      </c>
      <c r="Q5" s="133" t="s">
        <v>22</v>
      </c>
      <c r="R5" s="134" t="s">
        <v>106</v>
      </c>
      <c r="S5" s="132" t="s">
        <v>158</v>
      </c>
      <c r="T5" s="130" t="s">
        <v>159</v>
      </c>
      <c r="U5" s="130" t="s">
        <v>160</v>
      </c>
      <c r="V5" s="128" t="s">
        <v>161</v>
      </c>
      <c r="W5" s="128" t="s">
        <v>162</v>
      </c>
      <c r="X5" s="132" t="s">
        <v>163</v>
      </c>
      <c r="Y5" s="135" t="s">
        <v>107</v>
      </c>
      <c r="Z5" s="136" t="s">
        <v>108</v>
      </c>
      <c r="AA5" s="137" t="s">
        <v>109</v>
      </c>
      <c r="AB5" s="138" t="s">
        <v>164</v>
      </c>
      <c r="AC5" s="76" t="s">
        <v>165</v>
      </c>
      <c r="AD5" s="76" t="s">
        <v>166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"/>
  <sheetViews>
    <sheetView tabSelected="1" workbookViewId="0">
      <selection activeCell="C7" sqref="C7"/>
    </sheetView>
  </sheetViews>
  <sheetFormatPr defaultRowHeight="15" x14ac:dyDescent="0.25"/>
  <cols>
    <col min="1" max="1" width="15.28515625" bestFit="1" customWidth="1"/>
    <col min="2" max="2" width="11.7109375" bestFit="1" customWidth="1"/>
    <col min="3" max="3" width="8.140625" bestFit="1" customWidth="1"/>
    <col min="4" max="4" width="11.28515625" bestFit="1" customWidth="1"/>
    <col min="5" max="5" width="9" bestFit="1" customWidth="1"/>
    <col min="6" max="6" width="12.42578125" bestFit="1" customWidth="1"/>
    <col min="7" max="7" width="11.5703125" bestFit="1" customWidth="1"/>
    <col min="8" max="8" width="18" bestFit="1" customWidth="1"/>
    <col min="9" max="9" width="26.85546875" bestFit="1" customWidth="1"/>
    <col min="10" max="10" width="25.85546875" bestFit="1" customWidth="1"/>
    <col min="11" max="11" width="43.140625" bestFit="1" customWidth="1"/>
    <col min="12" max="12" width="41.5703125" bestFit="1" customWidth="1"/>
    <col min="13" max="13" width="10" bestFit="1" customWidth="1"/>
    <col min="14" max="14" width="16.140625" bestFit="1" customWidth="1"/>
    <col min="15" max="15" width="19.85546875" bestFit="1" customWidth="1"/>
    <col min="16" max="16" width="15.7109375" bestFit="1" customWidth="1"/>
    <col min="17" max="17" width="8.85546875" bestFit="1" customWidth="1"/>
    <col min="18" max="18" width="19" style="121" bestFit="1" customWidth="1"/>
    <col min="19" max="19" width="12.42578125" bestFit="1" customWidth="1"/>
    <col min="20" max="20" width="10.140625" bestFit="1" customWidth="1"/>
    <col min="21" max="21" width="13.140625" bestFit="1" customWidth="1"/>
    <col min="22" max="22" width="9.5703125" bestFit="1" customWidth="1"/>
    <col min="23" max="23" width="11.42578125" bestFit="1" customWidth="1"/>
    <col min="24" max="24" width="11.85546875" bestFit="1" customWidth="1"/>
    <col min="25" max="25" width="14.42578125" bestFit="1" customWidth="1"/>
    <col min="26" max="26" width="10.42578125" bestFit="1" customWidth="1"/>
    <col min="27" max="27" width="8.85546875" bestFit="1" customWidth="1"/>
    <col min="28" max="28" width="7.42578125" bestFit="1" customWidth="1"/>
    <col min="29" max="29" width="16.7109375" bestFit="1" customWidth="1"/>
    <col min="30" max="30" width="39.140625" bestFit="1" customWidth="1"/>
    <col min="31" max="31" width="16.7109375" bestFit="1" customWidth="1"/>
    <col min="32" max="32" width="17" bestFit="1" customWidth="1"/>
    <col min="33" max="33" width="32" bestFit="1" customWidth="1"/>
    <col min="34" max="34" width="17.85546875" bestFit="1" customWidth="1"/>
  </cols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sheetData>
    <row r="1" spans="1:1" x14ac:dyDescent="0.25">
      <c r="A1" t="s">
        <v>169</v>
      </c>
    </row>
    <row r="3" spans="1:1" x14ac:dyDescent="0.25">
      <c r="A3" t="s">
        <v>170</v>
      </c>
    </row>
    <row r="4" spans="1:1" x14ac:dyDescent="0.25">
      <c r="A4" t="s">
        <v>171</v>
      </c>
    </row>
    <row r="5" spans="1:1" x14ac:dyDescent="0.25">
      <c r="A5" t="s">
        <v>172</v>
      </c>
    </row>
    <row r="6" spans="1:1" x14ac:dyDescent="0.25">
      <c r="A6" t="s">
        <v>173</v>
      </c>
    </row>
    <row r="7" spans="1:1" x14ac:dyDescent="0.25">
      <c r="A7" t="s">
        <v>174</v>
      </c>
    </row>
    <row r="8" spans="1:1" x14ac:dyDescent="0.25">
      <c r="A8" t="s">
        <v>175</v>
      </c>
    </row>
    <row r="9" spans="1:1" x14ac:dyDescent="0.25">
      <c r="A9" t="s">
        <v>176</v>
      </c>
    </row>
    <row r="10" spans="1:1" x14ac:dyDescent="0.25">
      <c r="A10" t="s">
        <v>177</v>
      </c>
    </row>
    <row r="11" spans="1:1" x14ac:dyDescent="0.25">
      <c r="A11" t="s">
        <v>178</v>
      </c>
    </row>
    <row r="12" spans="1:1" x14ac:dyDescent="0.25">
      <c r="A12" t="s">
        <v>179</v>
      </c>
    </row>
    <row r="13" spans="1:1" x14ac:dyDescent="0.25">
      <c r="A13" t="s">
        <v>180</v>
      </c>
    </row>
    <row r="17" spans="1:7" x14ac:dyDescent="0.25">
      <c r="A17" t="s">
        <v>181</v>
      </c>
      <c r="B17" t="s">
        <v>99</v>
      </c>
      <c r="C17" t="s">
        <v>88</v>
      </c>
      <c r="D17" t="s">
        <v>182</v>
      </c>
      <c r="E17" t="s">
        <v>104</v>
      </c>
      <c r="F17" t="s">
        <v>103</v>
      </c>
      <c r="G17" t="s">
        <v>183</v>
      </c>
    </row>
    <row r="18" spans="1:7" x14ac:dyDescent="0.25">
      <c r="A18" s="127">
        <v>45336.686064814807</v>
      </c>
      <c r="B18" t="s">
        <v>184</v>
      </c>
      <c r="C18">
        <v>628918.89</v>
      </c>
      <c r="D18" t="s">
        <v>37</v>
      </c>
      <c r="F18" s="127">
        <v>45336</v>
      </c>
      <c r="G18" t="s">
        <v>168</v>
      </c>
    </row>
    <row r="19" spans="1:7" x14ac:dyDescent="0.25">
      <c r="A19">
        <v>45338.027581018519</v>
      </c>
      <c r="B19" t="s">
        <v>110</v>
      </c>
      <c r="C19">
        <v>628918.89</v>
      </c>
      <c r="D19" t="s">
        <v>185</v>
      </c>
      <c r="F19" s="127">
        <v>45336</v>
      </c>
      <c r="G1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SHEET</vt:lpstr>
      <vt:lpstr>SUMMARY</vt:lpstr>
      <vt:lpstr>DR IN BANK</vt:lpstr>
      <vt:lpstr>CR IN BANK</vt:lpstr>
      <vt:lpstr>DR IN LEDGER</vt:lpstr>
      <vt:lpstr>CR IN LEDGER</vt:lpstr>
      <vt:lpstr>Knock off data</vt:lpstr>
      <vt:lpstr>Bank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570097</dc:creator>
  <cp:lastModifiedBy>USER</cp:lastModifiedBy>
  <cp:lastPrinted>2022-08-03T15:39:59Z</cp:lastPrinted>
  <dcterms:created xsi:type="dcterms:W3CDTF">2013-07-30T14:23:48Z</dcterms:created>
  <dcterms:modified xsi:type="dcterms:W3CDTF">2024-03-08T04:53:33Z</dcterms:modified>
</cp:coreProperties>
</file>