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showInkAnnotation="0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lenthomas/Library/Mobile Documents/com~apple~CloudDocs/GUVI/"/>
    </mc:Choice>
  </mc:AlternateContent>
  <xr:revisionPtr revIDLastSave="0" documentId="13_ncr:1_{B0471C6D-A42F-0842-95E3-3A7C8729B983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9" i="1" l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30" i="1"/>
  <c r="P22" i="1"/>
  <c r="P23" i="1"/>
  <c r="P24" i="1"/>
  <c r="P25" i="1"/>
  <c r="P26" i="1"/>
  <c r="P27" i="1"/>
  <c r="P28" i="1"/>
  <c r="P29" i="1"/>
  <c r="P30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9" i="1" l="1"/>
  <c r="Q30" i="1"/>
  <c r="G29" i="1"/>
  <c r="G30" i="1"/>
  <c r="F29" i="1"/>
  <c r="F30" i="1"/>
  <c r="E29" i="1"/>
  <c r="E30" i="1"/>
  <c r="Q28" i="1"/>
  <c r="G28" i="1"/>
  <c r="F28" i="1"/>
  <c r="E28" i="1"/>
  <c r="Q27" i="1"/>
  <c r="Q26" i="1"/>
  <c r="G27" i="1"/>
  <c r="F27" i="1"/>
  <c r="E27" i="1"/>
  <c r="G26" i="1"/>
  <c r="F26" i="1"/>
  <c r="E26" i="1"/>
  <c r="Q25" i="1"/>
  <c r="G25" i="1"/>
  <c r="F25" i="1"/>
  <c r="E25" i="1"/>
  <c r="Q24" i="1"/>
  <c r="G24" i="1"/>
  <c r="F24" i="1"/>
  <c r="E24" i="1"/>
  <c r="Q23" i="1"/>
  <c r="G23" i="1"/>
  <c r="F23" i="1"/>
  <c r="E23" i="1"/>
  <c r="Q22" i="1"/>
  <c r="G22" i="1"/>
  <c r="F22" i="1"/>
  <c r="E22" i="1"/>
  <c r="Q21" i="1"/>
  <c r="G21" i="1"/>
  <c r="F21" i="1"/>
  <c r="E21" i="1"/>
  <c r="Q20" i="1"/>
  <c r="G20" i="1"/>
  <c r="F20" i="1"/>
  <c r="E20" i="1"/>
  <c r="Q19" i="1"/>
  <c r="G19" i="1"/>
  <c r="F19" i="1"/>
  <c r="E19" i="1"/>
  <c r="Q18" i="1"/>
  <c r="G18" i="1"/>
  <c r="F18" i="1"/>
  <c r="E18" i="1"/>
  <c r="G17" i="1"/>
  <c r="E17" i="1"/>
  <c r="F17" i="1"/>
  <c r="Q17" i="1"/>
  <c r="Q15" i="1"/>
  <c r="Q16" i="1"/>
  <c r="G16" i="1"/>
  <c r="F16" i="1"/>
  <c r="E16" i="1"/>
  <c r="G15" i="1"/>
  <c r="F15" i="1"/>
  <c r="E15" i="1"/>
  <c r="Q14" i="1"/>
  <c r="G14" i="1"/>
  <c r="F14" i="1"/>
  <c r="E14" i="1"/>
  <c r="Q13" i="1"/>
  <c r="Q12" i="1"/>
  <c r="G12" i="1"/>
  <c r="G13" i="1"/>
  <c r="F12" i="1"/>
  <c r="F13" i="1"/>
  <c r="E12" i="1"/>
  <c r="E13" i="1"/>
  <c r="Q11" i="1"/>
  <c r="H11" i="1"/>
  <c r="G11" i="1"/>
  <c r="F11" i="1"/>
  <c r="E11" i="1"/>
  <c r="Q10" i="1"/>
  <c r="G10" i="1"/>
  <c r="F10" i="1"/>
  <c r="E10" i="1"/>
  <c r="Q9" i="1"/>
  <c r="G9" i="1"/>
  <c r="F9" i="1"/>
  <c r="E9" i="1"/>
  <c r="G8" i="1"/>
  <c r="F8" i="1"/>
  <c r="F7" i="1"/>
  <c r="E8" i="1"/>
  <c r="Q8" i="1"/>
  <c r="Q7" i="1"/>
  <c r="G7" i="1"/>
  <c r="E7" i="1"/>
  <c r="Q6" i="1"/>
  <c r="Q5" i="1"/>
  <c r="Q4" i="1"/>
  <c r="G6" i="1"/>
  <c r="E6" i="1"/>
  <c r="F6" i="1" s="1"/>
  <c r="G5" i="1"/>
  <c r="E5" i="1"/>
  <c r="F5" i="1" s="1"/>
  <c r="G4" i="1"/>
  <c r="E4" i="1"/>
  <c r="F4" i="1" s="1"/>
  <c r="Q3" i="1"/>
  <c r="P6" i="1"/>
  <c r="P5" i="1"/>
  <c r="P3" i="1"/>
</calcChain>
</file>

<file path=xl/sharedStrings.xml><?xml version="1.0" encoding="utf-8"?>
<sst xmlns="http://schemas.openxmlformats.org/spreadsheetml/2006/main" count="80" uniqueCount="52">
  <si>
    <t>Lot Number</t>
  </si>
  <si>
    <t>MLE 68/23 B1</t>
  </si>
  <si>
    <t>MLE 64/23 B1</t>
  </si>
  <si>
    <t>MLE 64/23 B1B</t>
  </si>
  <si>
    <t>MLE 58/23 B1</t>
  </si>
  <si>
    <t>15000/25/23</t>
  </si>
  <si>
    <t>15000/26/23</t>
  </si>
  <si>
    <t>Old Lot-2</t>
  </si>
  <si>
    <t>Old Lot-3</t>
  </si>
  <si>
    <t>Old Lot-4</t>
  </si>
  <si>
    <t>Total Carotenoids</t>
  </si>
  <si>
    <t>MLE 67/23 B1</t>
  </si>
  <si>
    <t>15000/27/23 B1, B2, B3</t>
  </si>
  <si>
    <t>MLE 69/23 B1</t>
  </si>
  <si>
    <t>MLE 70/23 B1</t>
  </si>
  <si>
    <t>MLE 73/23 B1</t>
  </si>
  <si>
    <t>MLE 72/23 B1</t>
  </si>
  <si>
    <t>MLE 74/23 B1</t>
  </si>
  <si>
    <t>Date of Work</t>
  </si>
  <si>
    <t xml:space="preserve">Marigold Flower Weight, kg  (Uttarakhand) </t>
  </si>
  <si>
    <t>Marigold Flower Weight, kg (Karnataka)</t>
  </si>
  <si>
    <t>Marigold Flower Weight, kg (Tamil Nadu)</t>
  </si>
  <si>
    <t>Amount of Hexane used, kg</t>
  </si>
  <si>
    <t>Amount of Methanol used, kg</t>
  </si>
  <si>
    <t>Amount of Acetone used, kg</t>
  </si>
  <si>
    <t>Total Luteinester Production, kg (After DHAD)</t>
  </si>
  <si>
    <t>Total Luteinester Overs (For Regrinding)</t>
  </si>
  <si>
    <t>MLE 01/23 B1</t>
  </si>
  <si>
    <t>MLE 01/23 B2A</t>
  </si>
  <si>
    <t>MLE 01/23 B2B</t>
  </si>
  <si>
    <t>MLE 02/23 B1</t>
  </si>
  <si>
    <t>MLE 02/23 B2</t>
  </si>
  <si>
    <t>MLE 03/23 B1</t>
  </si>
  <si>
    <t>MLE 03/23 B2</t>
  </si>
  <si>
    <t>MLE 04/23 B1</t>
  </si>
  <si>
    <t>Total Residual Solvent, ppm</t>
  </si>
  <si>
    <t>Total Time Taken, hours</t>
  </si>
  <si>
    <t>Time Before 2nd Water Mixing, hours</t>
  </si>
  <si>
    <t>Time After 2nd Water Mixing, hours</t>
  </si>
  <si>
    <t>YIELD (Final Weight/Flower Weight)</t>
  </si>
  <si>
    <t>Luteinester Produced Before Drying, kg</t>
  </si>
  <si>
    <t xml:space="preserve">MLE 71/23 B1 </t>
  </si>
  <si>
    <t>Wet Cake TC (%)</t>
  </si>
  <si>
    <t>Wet Cake RS (ppm)</t>
  </si>
  <si>
    <t>15000/28/23 B1, B2, B3</t>
  </si>
  <si>
    <t>MLE 41/23 B1 (REDRY)</t>
  </si>
  <si>
    <t>MLE 43/23 B1 (REDRY)</t>
  </si>
  <si>
    <t>Sum of Total Carotenoids</t>
  </si>
  <si>
    <t>Sum of Total Residual Solvent, ppm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</si>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</sst>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4" borderId="1" xfId="0" applyFont="1" applyFill="1" applyBorder="1"/>
    <xf numFmtId="14" fontId="1" fillId="4" borderId="1" xfId="0" applyNumberFormat="1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[Luteinester 2024.xlsx]Sheet2!PivotTable3</c:name>
    <c:fmtId val="0"/>
  </c:pivotSource>
  <c:chart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918697121968707E-2"/>
          <c:y val="6.6416284736794048E-2"/>
          <c:w val="0.56943633426116735"/>
          <c:h val="0.49514241494670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 Carotenoids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Sheet2!$A$4:$A$33</c:f>
              <c:strCache>
                <c:ptCount val="29"/>
                <c:pt idx="0">
                  <c:v>15000/25/23</c:v>
                </c:pt>
                <c:pt idx="1">
                  <c:v>15000/26/23</c:v>
                </c:pt>
                <c:pt idx="2">
                  <c:v>15000/27/23 B1, B2, B3</c:v>
                </c:pt>
                <c:pt idx="3">
                  <c:v>15000/28/23 B1, B2, B3</c:v>
                </c:pt>
                <c:pt idx="4">
                  <c:v>MLE 01/23 B1</c:v>
                </c:pt>
                <c:pt idx="5">
                  <c:v>MLE 01/23 B2A</c:v>
                </c:pt>
                <c:pt idx="6">
                  <c:v>MLE 01/23 B2B</c:v>
                </c:pt>
                <c:pt idx="7">
                  <c:v>MLE 02/23 B1</c:v>
                </c:pt>
                <c:pt idx="8">
                  <c:v>MLE 02/23 B2</c:v>
                </c:pt>
                <c:pt idx="9">
                  <c:v>MLE 03/23 B1</c:v>
                </c:pt>
                <c:pt idx="10">
                  <c:v>MLE 03/23 B2</c:v>
                </c:pt>
                <c:pt idx="11">
                  <c:v>MLE 04/23 B1</c:v>
                </c:pt>
                <c:pt idx="12">
                  <c:v>MLE 41/23 B1 (REDRY)</c:v>
                </c:pt>
                <c:pt idx="13">
                  <c:v>MLE 43/23 B1 (REDRY)</c:v>
                </c:pt>
                <c:pt idx="14">
                  <c:v>MLE 58/23 B1</c:v>
                </c:pt>
                <c:pt idx="15">
                  <c:v>MLE 64/23 B1</c:v>
                </c:pt>
                <c:pt idx="16">
                  <c:v>MLE 64/23 B1B</c:v>
                </c:pt>
                <c:pt idx="17">
                  <c:v>MLE 67/23 B1</c:v>
                </c:pt>
                <c:pt idx="18">
                  <c:v>MLE 68/23 B1</c:v>
                </c:pt>
                <c:pt idx="19">
                  <c:v>MLE 69/23 B1</c:v>
                </c:pt>
                <c:pt idx="20">
                  <c:v>MLE 70/23 B1</c:v>
                </c:pt>
                <c:pt idx="21">
                  <c:v>MLE 71/23 B1 </c:v>
                </c:pt>
                <c:pt idx="22">
                  <c:v>MLE 72/23 B1</c:v>
                </c:pt>
                <c:pt idx="23">
                  <c:v>MLE 73/23 B1</c:v>
                </c:pt>
                <c:pt idx="24">
                  <c:v>MLE 74/23 B1</c:v>
                </c:pt>
                <c:pt idx="25">
                  <c:v>Old Lot-2</c:v>
                </c:pt>
                <c:pt idx="26">
                  <c:v>Old Lot-3</c:v>
                </c:pt>
                <c:pt idx="27">
                  <c:v>Old Lot-4</c:v>
                </c:pt>
                <c:pt idx="28">
                  <c:v>(blank)</c:v>
                </c:pt>
              </c:strCache>
            </c:strRef>
          </c:cat>
          <c:val>
            <c:numRef>
              <c:f>Sheet2!$B$4:$B$33</c:f>
              <c:numCache>
                <c:formatCode>General</c:formatCode>
                <c:ptCount val="29"/>
                <c:pt idx="0">
                  <c:v>57</c:v>
                </c:pt>
                <c:pt idx="1">
                  <c:v>64.39</c:v>
                </c:pt>
                <c:pt idx="2">
                  <c:v>61.1</c:v>
                </c:pt>
                <c:pt idx="3">
                  <c:v>60.3</c:v>
                </c:pt>
                <c:pt idx="4">
                  <c:v>66.31</c:v>
                </c:pt>
                <c:pt idx="5">
                  <c:v>66.790000000000006</c:v>
                </c:pt>
                <c:pt idx="6">
                  <c:v>63.55</c:v>
                </c:pt>
                <c:pt idx="7">
                  <c:v>64.34</c:v>
                </c:pt>
                <c:pt idx="8">
                  <c:v>64.430000000000007</c:v>
                </c:pt>
                <c:pt idx="9">
                  <c:v>64.430000000000007</c:v>
                </c:pt>
                <c:pt idx="10">
                  <c:v>55.82</c:v>
                </c:pt>
                <c:pt idx="11">
                  <c:v>61.85</c:v>
                </c:pt>
                <c:pt idx="12">
                  <c:v>61.68</c:v>
                </c:pt>
                <c:pt idx="13">
                  <c:v>60.44</c:v>
                </c:pt>
                <c:pt idx="14">
                  <c:v>64.400000000000006</c:v>
                </c:pt>
                <c:pt idx="15">
                  <c:v>63.79</c:v>
                </c:pt>
                <c:pt idx="16">
                  <c:v>63.6</c:v>
                </c:pt>
                <c:pt idx="17">
                  <c:v>63.65</c:v>
                </c:pt>
                <c:pt idx="18">
                  <c:v>61.05</c:v>
                </c:pt>
                <c:pt idx="19">
                  <c:v>58.76</c:v>
                </c:pt>
                <c:pt idx="20">
                  <c:v>63.33</c:v>
                </c:pt>
                <c:pt idx="21">
                  <c:v>58.73</c:v>
                </c:pt>
                <c:pt idx="22">
                  <c:v>58.26</c:v>
                </c:pt>
                <c:pt idx="23">
                  <c:v>63.8</c:v>
                </c:pt>
                <c:pt idx="24">
                  <c:v>61</c:v>
                </c:pt>
                <c:pt idx="25">
                  <c:v>60.64</c:v>
                </c:pt>
                <c:pt idx="26">
                  <c:v>60.2</c:v>
                </c:pt>
                <c:pt idx="27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A-1C44-8A1E-E833457C55D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Total Residual Solvent, ppm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Sheet2!$A$4:$A$33</c:f>
              <c:strCache>
                <c:ptCount val="29"/>
                <c:pt idx="0">
                  <c:v>15000/25/23</c:v>
                </c:pt>
                <c:pt idx="1">
                  <c:v>15000/26/23</c:v>
                </c:pt>
                <c:pt idx="2">
                  <c:v>15000/27/23 B1, B2, B3</c:v>
                </c:pt>
                <c:pt idx="3">
                  <c:v>15000/28/23 B1, B2, B3</c:v>
                </c:pt>
                <c:pt idx="4">
                  <c:v>MLE 01/23 B1</c:v>
                </c:pt>
                <c:pt idx="5">
                  <c:v>MLE 01/23 B2A</c:v>
                </c:pt>
                <c:pt idx="6">
                  <c:v>MLE 01/23 B2B</c:v>
                </c:pt>
                <c:pt idx="7">
                  <c:v>MLE 02/23 B1</c:v>
                </c:pt>
                <c:pt idx="8">
                  <c:v>MLE 02/23 B2</c:v>
                </c:pt>
                <c:pt idx="9">
                  <c:v>MLE 03/23 B1</c:v>
                </c:pt>
                <c:pt idx="10">
                  <c:v>MLE 03/23 B2</c:v>
                </c:pt>
                <c:pt idx="11">
                  <c:v>MLE 04/23 B1</c:v>
                </c:pt>
                <c:pt idx="12">
                  <c:v>MLE 41/23 B1 (REDRY)</c:v>
                </c:pt>
                <c:pt idx="13">
                  <c:v>MLE 43/23 B1 (REDRY)</c:v>
                </c:pt>
                <c:pt idx="14">
                  <c:v>MLE 58/23 B1</c:v>
                </c:pt>
                <c:pt idx="15">
                  <c:v>MLE 64/23 B1</c:v>
                </c:pt>
                <c:pt idx="16">
                  <c:v>MLE 64/23 B1B</c:v>
                </c:pt>
                <c:pt idx="17">
                  <c:v>MLE 67/23 B1</c:v>
                </c:pt>
                <c:pt idx="18">
                  <c:v>MLE 68/23 B1</c:v>
                </c:pt>
                <c:pt idx="19">
                  <c:v>MLE 69/23 B1</c:v>
                </c:pt>
                <c:pt idx="20">
                  <c:v>MLE 70/23 B1</c:v>
                </c:pt>
                <c:pt idx="21">
                  <c:v>MLE 71/23 B1 </c:v>
                </c:pt>
                <c:pt idx="22">
                  <c:v>MLE 72/23 B1</c:v>
                </c:pt>
                <c:pt idx="23">
                  <c:v>MLE 73/23 B1</c:v>
                </c:pt>
                <c:pt idx="24">
                  <c:v>MLE 74/23 B1</c:v>
                </c:pt>
                <c:pt idx="25">
                  <c:v>Old Lot-2</c:v>
                </c:pt>
                <c:pt idx="26">
                  <c:v>Old Lot-3</c:v>
                </c:pt>
                <c:pt idx="27">
                  <c:v>Old Lot-4</c:v>
                </c:pt>
                <c:pt idx="28">
                  <c:v>(blank)</c:v>
                </c:pt>
              </c:strCache>
            </c:strRef>
          </c:cat>
          <c:val>
            <c:numRef>
              <c:f>Sheet2!$C$4:$C$33</c:f>
              <c:numCache>
                <c:formatCode>General</c:formatCode>
                <c:ptCount val="29"/>
                <c:pt idx="0">
                  <c:v>46</c:v>
                </c:pt>
                <c:pt idx="1">
                  <c:v>49</c:v>
                </c:pt>
                <c:pt idx="2">
                  <c:v>60</c:v>
                </c:pt>
                <c:pt idx="3">
                  <c:v>59</c:v>
                </c:pt>
                <c:pt idx="4">
                  <c:v>74</c:v>
                </c:pt>
                <c:pt idx="5">
                  <c:v>114</c:v>
                </c:pt>
                <c:pt idx="6">
                  <c:v>106</c:v>
                </c:pt>
                <c:pt idx="7">
                  <c:v>91</c:v>
                </c:pt>
                <c:pt idx="8">
                  <c:v>56</c:v>
                </c:pt>
                <c:pt idx="9">
                  <c:v>80</c:v>
                </c:pt>
                <c:pt idx="10">
                  <c:v>127</c:v>
                </c:pt>
                <c:pt idx="11">
                  <c:v>140</c:v>
                </c:pt>
                <c:pt idx="12">
                  <c:v>108</c:v>
                </c:pt>
                <c:pt idx="13">
                  <c:v>90</c:v>
                </c:pt>
                <c:pt idx="14">
                  <c:v>54</c:v>
                </c:pt>
                <c:pt idx="15">
                  <c:v>189</c:v>
                </c:pt>
                <c:pt idx="16">
                  <c:v>56</c:v>
                </c:pt>
                <c:pt idx="17">
                  <c:v>67</c:v>
                </c:pt>
                <c:pt idx="18">
                  <c:v>157</c:v>
                </c:pt>
                <c:pt idx="19">
                  <c:v>72</c:v>
                </c:pt>
                <c:pt idx="20">
                  <c:v>126</c:v>
                </c:pt>
                <c:pt idx="21">
                  <c:v>110</c:v>
                </c:pt>
                <c:pt idx="22">
                  <c:v>92</c:v>
                </c:pt>
                <c:pt idx="23">
                  <c:v>84</c:v>
                </c:pt>
                <c:pt idx="24">
                  <c:v>70</c:v>
                </c:pt>
                <c:pt idx="25">
                  <c:v>36</c:v>
                </c:pt>
                <c:pt idx="26">
                  <c:v>78</c:v>
                </c:pt>
                <c:pt idx="2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A-1C44-8A1E-E833457C5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8628367"/>
        <c:axId val="1946227679"/>
      </c:barChart>
      <c:catAx>
        <c:axId val="18486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27679"/>
        <c:crosses val="autoZero"/>
        <c:auto val="1"/>
        <c:lblAlgn val="ctr"/>
        <c:lblOffset val="100"/>
        <c:noMultiLvlLbl val="0"/>
      </c:catAx>
      <c:valAx>
        <c:axId val="19462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3581355824032"/>
          <c:y val="0.29232989155761185"/>
          <c:w val="0.3050299632961922"/>
          <c:h val="0.26031503913210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144320</xdr:colOff>
      <xdr:row>4</xdr:row>
      <xdr:rowOff>115454</xdr:rowOff>
    </xdr:from>
    <xdr:to>
      <xdr:col>11</xdr:col>
      <xdr:colOff>65320</xdr:colOff>
      <xdr:row>20</xdr:row>
      <xdr:rowOff>49141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2495A-ADFB-DBCD-1FB0-DC87C99E0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07.864178587966" createdVersion="8" refreshedVersion="8" minRefreshableVersion="3" recordCount="30" xr:uid="{ED1CDF83-92C4-004F-B20B-D3FF8507A9AE}">
  <cacheSource type="worksheet">
    <worksheetSource ref="A1:S31" sheet="Sheet1"/>
  </cacheSource>
  <cacheFields count="19">
    <cacheField name="Lot Number" numFmtId="0">
      <sharedItems containsBlank="1" count="29">
        <m/>
        <s v="MLE 01/23 B1"/>
        <s v="MLE 01/23 B2A"/>
        <s v="MLE 01/23 B2B"/>
        <s v="MLE 02/23 B1"/>
        <s v="MLE 02/23 B2"/>
        <s v="MLE 03/23 B1"/>
        <s v="MLE 03/23 B2"/>
        <s v="MLE 04/23 B1"/>
        <s v="MLE 64/23 B1"/>
        <s v="MLE 64/23 B1B"/>
        <s v="MLE 58/23 B1"/>
        <s v="15000/25/23"/>
        <s v="15000/26/23"/>
        <s v="Old Lot-2"/>
        <s v="Old Lot-3"/>
        <s v="Old Lot-4"/>
        <s v="MLE 67/23 B1"/>
        <s v="MLE 68/23 B1"/>
        <s v="15000/27/23 B1, B2, B3"/>
        <s v="MLE 69/23 B1"/>
        <s v="15000/28/23 B1, B2, B3"/>
        <s v="MLE 70/23 B1"/>
        <s v="MLE 71/23 B1 "/>
        <s v="MLE 41/23 B1 (REDRY)"/>
        <s v="MLE 43/23 B1 (REDRY)"/>
        <s v="MLE 73/23 B1"/>
        <s v="MLE 72/23 B1"/>
        <s v="MLE 74/23 B1"/>
      </sharedItems>
    </cacheField>
    <cacheField name="Marigold Flower Weight, kg  (Uttarakhand) " numFmtId="0">
      <sharedItems containsString="0" containsBlank="1" containsNumber="1" containsInteger="1" minValue="0" maxValue="20000"/>
    </cacheField>
    <cacheField name="Marigold Flower Weight, kg (Karnataka)" numFmtId="0">
      <sharedItems containsString="0" containsBlank="1" containsNumber="1" containsInteger="1" minValue="0" maxValue="15000"/>
    </cacheField>
    <cacheField name="Marigold Flower Weight, kg (Tamil Nadu)" numFmtId="0">
      <sharedItems containsString="0" containsBlank="1" containsNumber="1" containsInteger="1" minValue="0" maxValue="20000"/>
    </cacheField>
    <cacheField name="Amount of Hexane used, kg" numFmtId="0">
      <sharedItems containsString="0" containsBlank="1" containsNumber="1" containsInteger="1" minValue="1500" maxValue="60000"/>
    </cacheField>
    <cacheField name="Amount of Methanol used, kg" numFmtId="0">
      <sharedItems containsString="0" containsBlank="1" containsNumber="1" containsInteger="1" minValue="1500" maxValue="60000"/>
    </cacheField>
    <cacheField name="Amount of Acetone used, kg" numFmtId="0">
      <sharedItems containsString="0" containsBlank="1" containsNumber="1" containsInteger="1" minValue="6000" maxValue="240000"/>
    </cacheField>
    <cacheField name="Luteinester Produced Before Drying, kg" numFmtId="0">
      <sharedItems containsString="0" containsBlank="1" containsNumber="1" minValue="0.7" maxValue="98.5"/>
    </cacheField>
    <cacheField name="Total Luteinester Production, kg (After DHAD)" numFmtId="0">
      <sharedItems containsString="0" containsBlank="1" containsNumber="1" minValue="0.5" maxValue="92.2"/>
    </cacheField>
    <cacheField name="Total Luteinester Overs (For Regrinding)" numFmtId="0">
      <sharedItems containsString="0" containsBlank="1" containsNumber="1" minValue="0" maxValue="0.7"/>
    </cacheField>
    <cacheField name="Date of Work" numFmtId="0">
      <sharedItems containsNonDate="0" containsDate="1" containsString="0" containsBlank="1" minDate="2023-01-04T00:00:00" maxDate="2023-12-15T00:00:00"/>
    </cacheField>
    <cacheField name="Total Carotenoids" numFmtId="0">
      <sharedItems containsString="0" containsBlank="1" containsNumber="1" minValue="49.7" maxValue="66.790000000000006"/>
    </cacheField>
    <cacheField name="Total Residual Solvent, ppm" numFmtId="0">
      <sharedItems containsString="0" containsBlank="1" containsNumber="1" containsInteger="1" minValue="36" maxValue="189"/>
    </cacheField>
    <cacheField name="Total Time Taken, hours" numFmtId="0">
      <sharedItems containsString="0" containsBlank="1" containsNumber="1" containsInteger="1" minValue="14" maxValue="58"/>
    </cacheField>
    <cacheField name="Time Before 2nd Water Mixing, hours" numFmtId="0">
      <sharedItems containsString="0" containsBlank="1" containsNumber="1" containsInteger="1" minValue="14" maxValue="35"/>
    </cacheField>
    <cacheField name="Time After 2nd Water Mixing, hours" numFmtId="0">
      <sharedItems containsString="0" containsBlank="1" containsNumber="1" containsInteger="1" minValue="0" maxValue="29"/>
    </cacheField>
    <cacheField name="YIELD (Final Weight/Flower Weight)" numFmtId="0">
      <sharedItems containsString="0" containsBlank="1" containsNumber="1" minValue="6.9999999999999999E-4" maxValue="5.3039999999999997E-3"/>
    </cacheField>
    <cacheField name="Wet Cake TC (%)" numFmtId="0">
      <sharedItems containsString="0" containsBlank="1" containsNumber="1" minValue="53.800000000000004" maxValue="69.790000000000006"/>
    </cacheField>
    <cacheField name="Wet Cake RS (ppm)" numFmtId="0">
      <sharedItems containsString="0" containsBlank="1" containsNumber="1" containsInteger="1" minValue="234" maxValue="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m/>
    <m/>
    <m/>
    <m/>
    <m/>
    <m/>
    <m/>
    <m/>
    <m/>
    <m/>
    <m/>
    <m/>
    <m/>
    <m/>
    <m/>
    <m/>
    <m/>
    <m/>
  </r>
  <r>
    <x v="1"/>
    <n v="0"/>
    <n v="0"/>
    <n v="10000"/>
    <n v="30000"/>
    <n v="30000"/>
    <n v="120000"/>
    <n v="57.5"/>
    <n v="46.46"/>
    <n v="0.5"/>
    <d v="2023-01-04T00:00:00"/>
    <n v="66.31"/>
    <n v="74"/>
    <n v="44"/>
    <n v="28"/>
    <n v="16"/>
    <n v="4.646E-3"/>
    <n v="69.510000000000005"/>
    <n v="357"/>
  </r>
  <r>
    <x v="2"/>
    <n v="0"/>
    <n v="0"/>
    <n v="1250"/>
    <n v="3750"/>
    <n v="3750"/>
    <n v="15000"/>
    <n v="7.5"/>
    <n v="6.63"/>
    <n v="0.1"/>
    <d v="2023-01-04T00:00:00"/>
    <n v="66.790000000000006"/>
    <n v="114"/>
    <n v="44"/>
    <n v="28"/>
    <n v="16"/>
    <n v="5.3039999999999997E-3"/>
    <n v="69.790000000000006"/>
    <n v="465"/>
  </r>
  <r>
    <x v="3"/>
    <n v="0"/>
    <n v="0"/>
    <n v="10000"/>
    <n v="30000"/>
    <n v="30000"/>
    <n v="120000"/>
    <n v="48.5"/>
    <n v="44.86"/>
    <n v="0.7"/>
    <d v="2023-01-06T00:00:00"/>
    <n v="63.55"/>
    <n v="106"/>
    <n v="46"/>
    <n v="29"/>
    <n v="17"/>
    <n v="4.4859999999999995E-3"/>
    <n v="67.55"/>
    <n v="527"/>
  </r>
  <r>
    <x v="4"/>
    <n v="10000"/>
    <n v="0"/>
    <n v="0"/>
    <n v="30000"/>
    <n v="30000"/>
    <n v="120000"/>
    <n v="14.5"/>
    <n v="13.23"/>
    <n v="0.2"/>
    <d v="2023-01-06T00:00:00"/>
    <n v="64.34"/>
    <n v="91"/>
    <n v="58"/>
    <n v="29"/>
    <n v="29"/>
    <n v="1.323E-3"/>
    <n v="66.84"/>
    <n v="399"/>
  </r>
  <r>
    <x v="5"/>
    <n v="10000"/>
    <n v="0"/>
    <n v="0"/>
    <n v="30000"/>
    <n v="30000"/>
    <n v="120000"/>
    <n v="15.1"/>
    <n v="13.7"/>
    <n v="0"/>
    <d v="2023-01-09T00:00:00"/>
    <n v="64.430000000000007"/>
    <n v="56"/>
    <n v="47"/>
    <n v="26"/>
    <n v="21"/>
    <n v="1.3699999999999999E-3"/>
    <n v="67.930000000000007"/>
    <n v="367"/>
  </r>
  <r>
    <x v="6"/>
    <n v="20000"/>
    <n v="0"/>
    <n v="0"/>
    <n v="60000"/>
    <n v="60000"/>
    <n v="240000"/>
    <n v="29"/>
    <n v="23.82"/>
    <n v="0.1"/>
    <d v="2023-01-09T00:00:00"/>
    <n v="64.430000000000007"/>
    <n v="80"/>
    <n v="47"/>
    <n v="25"/>
    <n v="22"/>
    <n v="1.191E-3"/>
    <n v="68.63000000000001"/>
    <n v="380"/>
  </r>
  <r>
    <x v="7"/>
    <n v="10000"/>
    <n v="0"/>
    <n v="0"/>
    <n v="30000"/>
    <n v="30000"/>
    <n v="120000"/>
    <n v="12.7"/>
    <n v="9"/>
    <n v="0.3"/>
    <d v="2023-01-09T00:00:00"/>
    <n v="55.82"/>
    <n v="127"/>
    <n v="51"/>
    <n v="32"/>
    <n v="19"/>
    <n v="8.9999999999999998E-4"/>
    <n v="60.82"/>
    <n v="468"/>
  </r>
  <r>
    <x v="8"/>
    <n v="0"/>
    <n v="15000"/>
    <n v="0"/>
    <n v="45000"/>
    <n v="45000"/>
    <n v="180000"/>
    <n v="21.25"/>
    <n v="19.850000000000001"/>
    <n v="0.4"/>
    <d v="2023-01-13T00:00:00"/>
    <n v="61.85"/>
    <n v="140"/>
    <n v="30"/>
    <n v="22"/>
    <n v="8"/>
    <n v="1.3233333333333335E-3"/>
    <n v="64.55"/>
    <n v="521"/>
  </r>
  <r>
    <x v="9"/>
    <n v="0"/>
    <n v="0"/>
    <n v="10000"/>
    <n v="30000"/>
    <n v="30000"/>
    <n v="120000"/>
    <n v="42"/>
    <n v="40"/>
    <n v="0.4"/>
    <d v="2023-11-07T00:00:00"/>
    <n v="63.79"/>
    <n v="189"/>
    <n v="30"/>
    <n v="24"/>
    <n v="6"/>
    <n v="4.0000000000000001E-3"/>
    <n v="67.89"/>
    <n v="567"/>
  </r>
  <r>
    <x v="10"/>
    <n v="0"/>
    <n v="0"/>
    <n v="5000"/>
    <n v="15000"/>
    <n v="15000"/>
    <n v="60000"/>
    <n v="24"/>
    <n v="19.98"/>
    <n v="0.2"/>
    <d v="2023-11-10T00:00:00"/>
    <n v="63.6"/>
    <n v="56"/>
    <n v="35"/>
    <n v="25"/>
    <n v="10"/>
    <n v="3.9960000000000004E-3"/>
    <n v="66.900000000000006"/>
    <n v="345"/>
  </r>
  <r>
    <x v="11"/>
    <n v="0"/>
    <n v="0"/>
    <n v="5000"/>
    <n v="15000"/>
    <n v="15000"/>
    <n v="60000"/>
    <n v="24.3"/>
    <n v="20"/>
    <n v="0.1"/>
    <d v="2023-10-13T00:00:00"/>
    <n v="64.400000000000006"/>
    <n v="54"/>
    <n v="32"/>
    <n v="22"/>
    <n v="10"/>
    <n v="4.0000000000000001E-3"/>
    <n v="67.900000000000006"/>
    <n v="387"/>
  </r>
  <r>
    <x v="12"/>
    <n v="0"/>
    <n v="2000"/>
    <n v="0"/>
    <n v="6000"/>
    <n v="6000"/>
    <n v="24000"/>
    <n v="5.4"/>
    <n v="3.7"/>
    <n v="0"/>
    <d v="2023-07-13T00:00:00"/>
    <n v="57"/>
    <n v="46"/>
    <n v="45"/>
    <n v="30"/>
    <n v="15"/>
    <n v="1.8500000000000001E-3"/>
    <n v="60.6"/>
    <n v="388"/>
  </r>
  <r>
    <x v="13"/>
    <n v="0"/>
    <n v="2500"/>
    <n v="0"/>
    <n v="7500"/>
    <n v="7500"/>
    <n v="30000"/>
    <n v="6.3"/>
    <n v="4.8"/>
    <n v="0"/>
    <d v="2023-07-14T00:00:00"/>
    <n v="64.39"/>
    <n v="49"/>
    <n v="40"/>
    <n v="29"/>
    <n v="11"/>
    <n v="1.9199999999999998E-3"/>
    <n v="69.790000000000006"/>
    <n v="334"/>
  </r>
  <r>
    <x v="14"/>
    <n v="500"/>
    <n v="0"/>
    <n v="0"/>
    <n v="1500"/>
    <n v="1500"/>
    <n v="6000"/>
    <n v="0.7"/>
    <n v="0.5"/>
    <n v="0"/>
    <d v="2023-03-05T00:00:00"/>
    <n v="60.64"/>
    <n v="36"/>
    <n v="39"/>
    <n v="26"/>
    <n v="13"/>
    <n v="1E-3"/>
    <n v="64.14"/>
    <n v="332"/>
  </r>
  <r>
    <x v="15"/>
    <n v="1500"/>
    <n v="0"/>
    <n v="0"/>
    <n v="4500"/>
    <n v="4500"/>
    <n v="18000"/>
    <n v="1.6"/>
    <n v="1.3"/>
    <n v="0"/>
    <d v="2023-03-05T00:00:00"/>
    <n v="60.2"/>
    <n v="78"/>
    <n v="40"/>
    <n v="27"/>
    <n v="13"/>
    <n v="8.6666666666666674E-4"/>
    <n v="63.300000000000004"/>
    <n v="391"/>
  </r>
  <r>
    <x v="16"/>
    <n v="2000"/>
    <n v="0"/>
    <n v="0"/>
    <n v="6000"/>
    <n v="6000"/>
    <n v="24000"/>
    <n v="1.8"/>
    <n v="1.4"/>
    <n v="0"/>
    <d v="2023-03-05T00:00:00"/>
    <n v="49.7"/>
    <n v="49"/>
    <n v="49"/>
    <n v="35"/>
    <n v="14"/>
    <n v="6.9999999999999999E-4"/>
    <n v="53.800000000000004"/>
    <n v="342"/>
  </r>
  <r>
    <x v="17"/>
    <n v="0"/>
    <n v="0"/>
    <n v="20000"/>
    <n v="60000"/>
    <n v="60000"/>
    <n v="240000"/>
    <n v="98.5"/>
    <n v="92"/>
    <n v="0.6"/>
    <d v="2023-11-23T00:00:00"/>
    <n v="63.65"/>
    <n v="67"/>
    <n v="30"/>
    <n v="23"/>
    <n v="7"/>
    <n v="4.5999999999999999E-3"/>
    <n v="67.55"/>
    <n v="331"/>
  </r>
  <r>
    <x v="18"/>
    <n v="0"/>
    <n v="0"/>
    <n v="20000"/>
    <n v="60000"/>
    <n v="60000"/>
    <n v="240000"/>
    <n v="96.4"/>
    <n v="92.2"/>
    <n v="0.5"/>
    <d v="2023-11-26T00:00:00"/>
    <n v="61.05"/>
    <n v="157"/>
    <n v="40"/>
    <n v="26"/>
    <n v="14"/>
    <n v="4.6100000000000004E-3"/>
    <n v="65.149999999999991"/>
    <n v="531"/>
  </r>
  <r>
    <x v="19"/>
    <n v="0"/>
    <n v="5000"/>
    <n v="0"/>
    <n v="15000"/>
    <n v="15000"/>
    <n v="60000"/>
    <n v="12"/>
    <n v="10.7"/>
    <n v="0.1"/>
    <d v="2023-11-26T00:00:00"/>
    <n v="61.1"/>
    <n v="60"/>
    <n v="45"/>
    <n v="31"/>
    <n v="14"/>
    <n v="2.14E-3"/>
    <n v="64.7"/>
    <n v="372"/>
  </r>
  <r>
    <x v="20"/>
    <n v="0"/>
    <n v="10000"/>
    <n v="0"/>
    <n v="30000"/>
    <n v="30000"/>
    <n v="120000"/>
    <n v="22"/>
    <n v="21.3"/>
    <n v="0.1"/>
    <d v="2023-11-28T00:00:00"/>
    <n v="58.76"/>
    <n v="72"/>
    <n v="45"/>
    <n v="29"/>
    <n v="16"/>
    <n v="2.1299999999999999E-3"/>
    <n v="62.36"/>
    <n v="377"/>
  </r>
  <r>
    <x v="21"/>
    <n v="0"/>
    <n v="4000"/>
    <n v="0"/>
    <n v="12000"/>
    <n v="12000"/>
    <n v="48000"/>
    <n v="13.6"/>
    <n v="9.3000000000000007"/>
    <n v="0"/>
    <d v="2023-11-30T00:00:00"/>
    <n v="60.3"/>
    <n v="59"/>
    <n v="46"/>
    <n v="34"/>
    <n v="12"/>
    <n v="2.3250000000000002E-3"/>
    <n v="63.8"/>
    <n v="312"/>
  </r>
  <r>
    <x v="22"/>
    <n v="20000"/>
    <n v="0"/>
    <n v="0"/>
    <n v="60000"/>
    <n v="60000"/>
    <n v="240000"/>
    <n v="32"/>
    <n v="30"/>
    <n v="0"/>
    <d v="2023-12-03T00:00:00"/>
    <n v="63.33"/>
    <n v="126"/>
    <n v="30"/>
    <n v="14"/>
    <n v="16"/>
    <n v="1.5E-3"/>
    <n v="66.63"/>
    <n v="563"/>
  </r>
  <r>
    <x v="23"/>
    <n v="0"/>
    <n v="5000"/>
    <n v="0"/>
    <n v="15000"/>
    <n v="15000"/>
    <n v="60000"/>
    <n v="15.5"/>
    <n v="11.4"/>
    <n v="0.1"/>
    <d v="2023-12-05T00:00:00"/>
    <n v="58.73"/>
    <n v="110"/>
    <n v="24"/>
    <n v="20"/>
    <n v="4"/>
    <n v="2.2799999999999999E-3"/>
    <n v="61.129999999999995"/>
    <n v="478"/>
  </r>
  <r>
    <x v="24"/>
    <n v="10000"/>
    <n v="0"/>
    <n v="0"/>
    <n v="30000"/>
    <n v="30000"/>
    <n v="120000"/>
    <n v="15.2"/>
    <n v="13.3"/>
    <n v="0.1"/>
    <d v="2023-12-07T00:00:00"/>
    <n v="61.68"/>
    <n v="108"/>
    <n v="16"/>
    <n v="16"/>
    <n v="0"/>
    <n v="1.33E-3"/>
    <n v="63.68"/>
    <n v="245"/>
  </r>
  <r>
    <x v="25"/>
    <n v="10000"/>
    <n v="0"/>
    <n v="0"/>
    <n v="30000"/>
    <n v="30000"/>
    <n v="120000"/>
    <n v="15.7"/>
    <n v="13.3"/>
    <n v="0.1"/>
    <d v="2023-12-07T00:00:00"/>
    <n v="60.44"/>
    <n v="90"/>
    <n v="14"/>
    <n v="14"/>
    <n v="0"/>
    <n v="1.33E-3"/>
    <n v="62.44"/>
    <n v="234"/>
  </r>
  <r>
    <x v="26"/>
    <n v="0"/>
    <n v="0"/>
    <n v="10000"/>
    <n v="30000"/>
    <n v="30000"/>
    <n v="120000"/>
    <n v="43.4"/>
    <n v="41.5"/>
    <n v="0.1"/>
    <d v="2023-12-12T00:00:00"/>
    <n v="63.8"/>
    <n v="84"/>
    <n v="40"/>
    <n v="29"/>
    <n v="11"/>
    <n v="4.15E-3"/>
    <n v="66.899999999999991"/>
    <n v="356"/>
  </r>
  <r>
    <x v="27"/>
    <n v="0"/>
    <n v="0"/>
    <n v="10000"/>
    <n v="30000"/>
    <n v="30000"/>
    <n v="120000"/>
    <n v="44"/>
    <n v="42"/>
    <n v="0.3"/>
    <d v="2023-12-12T00:00:00"/>
    <n v="58.26"/>
    <n v="92"/>
    <n v="38"/>
    <n v="27"/>
    <n v="11"/>
    <n v="4.1999999999999997E-3"/>
    <n v="61.76"/>
    <n v="360"/>
  </r>
  <r>
    <x v="28"/>
    <n v="0"/>
    <n v="0"/>
    <n v="10000"/>
    <n v="30000"/>
    <n v="30000"/>
    <n v="120000"/>
    <n v="42"/>
    <n v="38"/>
    <n v="0"/>
    <d v="2023-12-14T00:00:00"/>
    <n v="61"/>
    <n v="70"/>
    <n v="46"/>
    <n v="28"/>
    <n v="18"/>
    <n v="3.8E-3"/>
    <n v="64"/>
    <n v="371"/>
  </r>
  <r>
    <x v="0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67923-DC5C-6342-AA34-E2E53BE1455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33" firstHeaderRow="0" firstDataRow="1" firstDataCol="1"/>
  <pivotFields count="19">
    <pivotField axis="axisRow" showAll="0">
      <items count="30">
        <item x="12"/>
        <item x="13"/>
        <item x="19"/>
        <item x="21"/>
        <item x="1"/>
        <item x="2"/>
        <item x="3"/>
        <item x="4"/>
        <item x="5"/>
        <item x="6"/>
        <item x="7"/>
        <item x="8"/>
        <item x="24"/>
        <item x="25"/>
        <item x="11"/>
        <item x="9"/>
        <item x="10"/>
        <item x="17"/>
        <item x="18"/>
        <item x="20"/>
        <item x="22"/>
        <item x="23"/>
        <item x="27"/>
        <item x="26"/>
        <item x="28"/>
        <item x="14"/>
        <item x="15"/>
        <item x="1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arotenoids" fld="11" baseField="0" baseItem="0"/>
    <dataField name="Sum of Total Residual Solvent, ppm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A43E-0725-5944-92BF-33FE1E21C619}">
  <dimension ref="A3:C33"/>
  <sheetViews>
    <sheetView zoomScale="132" workbookViewId="0">
      <selection activeCell="B3" sqref="B3"/>
    </sheetView>
  </sheetViews>
  <sheetFormatPr baseColWidth="10" defaultRowHeight="15" x14ac:dyDescent="0.2"/>
  <cols>
    <col min="1" max="1" width="19.6640625" bestFit="1" customWidth="1"/>
    <col min="2" max="2" width="20.33203125" bestFit="1" customWidth="1"/>
    <col min="3" max="3" width="28.33203125" bestFit="1" customWidth="1"/>
  </cols>
  <sheetData>
    <row r="3" spans="1:3" x14ac:dyDescent="0.2">
      <c r="A3" s="2" t="s">
        <v>49</v>
      </c>
      <c r="B3" t="s">
        <v>47</v>
      </c>
      <c r="C3" t="s">
        <v>48</v>
      </c>
    </row>
    <row r="4" spans="1:3" x14ac:dyDescent="0.2">
      <c r="A4" s="3" t="s">
        <v>5</v>
      </c>
      <c r="B4">
        <v>57</v>
      </c>
      <c r="C4">
        <v>46</v>
      </c>
    </row>
    <row r="5" spans="1:3" x14ac:dyDescent="0.2">
      <c r="A5" s="3" t="s">
        <v>6</v>
      </c>
      <c r="B5">
        <v>64.39</v>
      </c>
      <c r="C5">
        <v>49</v>
      </c>
    </row>
    <row r="6" spans="1:3" x14ac:dyDescent="0.2">
      <c r="A6" s="3" t="s">
        <v>12</v>
      </c>
      <c r="B6">
        <v>61.1</v>
      </c>
      <c r="C6">
        <v>60</v>
      </c>
    </row>
    <row r="7" spans="1:3" x14ac:dyDescent="0.2">
      <c r="A7" s="3" t="s">
        <v>44</v>
      </c>
      <c r="B7">
        <v>60.3</v>
      </c>
      <c r="C7">
        <v>59</v>
      </c>
    </row>
    <row r="8" spans="1:3" x14ac:dyDescent="0.2">
      <c r="A8" s="3" t="s">
        <v>27</v>
      </c>
      <c r="B8">
        <v>66.31</v>
      </c>
      <c r="C8">
        <v>74</v>
      </c>
    </row>
    <row r="9" spans="1:3" x14ac:dyDescent="0.2">
      <c r="A9" s="3" t="s">
        <v>28</v>
      </c>
      <c r="B9">
        <v>66.790000000000006</v>
      </c>
      <c r="C9">
        <v>114</v>
      </c>
    </row>
    <row r="10" spans="1:3" x14ac:dyDescent="0.2">
      <c r="A10" s="3" t="s">
        <v>29</v>
      </c>
      <c r="B10">
        <v>63.55</v>
      </c>
      <c r="C10">
        <v>106</v>
      </c>
    </row>
    <row r="11" spans="1:3" x14ac:dyDescent="0.2">
      <c r="A11" s="3" t="s">
        <v>30</v>
      </c>
      <c r="B11">
        <v>64.34</v>
      </c>
      <c r="C11">
        <v>91</v>
      </c>
    </row>
    <row r="12" spans="1:3" x14ac:dyDescent="0.2">
      <c r="A12" s="3" t="s">
        <v>31</v>
      </c>
      <c r="B12">
        <v>64.430000000000007</v>
      </c>
      <c r="C12">
        <v>56</v>
      </c>
    </row>
    <row r="13" spans="1:3" x14ac:dyDescent="0.2">
      <c r="A13" s="3" t="s">
        <v>32</v>
      </c>
      <c r="B13">
        <v>64.430000000000007</v>
      </c>
      <c r="C13">
        <v>80</v>
      </c>
    </row>
    <row r="14" spans="1:3" x14ac:dyDescent="0.2">
      <c r="A14" s="3" t="s">
        <v>33</v>
      </c>
      <c r="B14">
        <v>55.82</v>
      </c>
      <c r="C14">
        <v>127</v>
      </c>
    </row>
    <row r="15" spans="1:3" x14ac:dyDescent="0.2">
      <c r="A15" s="3" t="s">
        <v>34</v>
      </c>
      <c r="B15">
        <v>61.85</v>
      </c>
      <c r="C15">
        <v>140</v>
      </c>
    </row>
    <row r="16" spans="1:3" x14ac:dyDescent="0.2">
      <c r="A16" s="3" t="s">
        <v>45</v>
      </c>
      <c r="B16">
        <v>61.68</v>
      </c>
      <c r="C16">
        <v>108</v>
      </c>
    </row>
    <row r="17" spans="1:3" x14ac:dyDescent="0.2">
      <c r="A17" s="3" t="s">
        <v>46</v>
      </c>
      <c r="B17">
        <v>60.44</v>
      </c>
      <c r="C17">
        <v>90</v>
      </c>
    </row>
    <row r="18" spans="1:3" x14ac:dyDescent="0.2">
      <c r="A18" s="3" t="s">
        <v>4</v>
      </c>
      <c r="B18">
        <v>64.400000000000006</v>
      </c>
      <c r="C18">
        <v>54</v>
      </c>
    </row>
    <row r="19" spans="1:3" x14ac:dyDescent="0.2">
      <c r="A19" s="3" t="s">
        <v>2</v>
      </c>
      <c r="B19">
        <v>63.79</v>
      </c>
      <c r="C19">
        <v>189</v>
      </c>
    </row>
    <row r="20" spans="1:3" x14ac:dyDescent="0.2">
      <c r="A20" s="3" t="s">
        <v>3</v>
      </c>
      <c r="B20">
        <v>63.6</v>
      </c>
      <c r="C20">
        <v>56</v>
      </c>
    </row>
    <row r="21" spans="1:3" x14ac:dyDescent="0.2">
      <c r="A21" s="3" t="s">
        <v>11</v>
      </c>
      <c r="B21">
        <v>63.65</v>
      </c>
      <c r="C21">
        <v>67</v>
      </c>
    </row>
    <row r="22" spans="1:3" x14ac:dyDescent="0.2">
      <c r="A22" s="3" t="s">
        <v>1</v>
      </c>
      <c r="B22">
        <v>61.05</v>
      </c>
      <c r="C22">
        <v>157</v>
      </c>
    </row>
    <row r="23" spans="1:3" x14ac:dyDescent="0.2">
      <c r="A23" s="3" t="s">
        <v>13</v>
      </c>
      <c r="B23">
        <v>58.76</v>
      </c>
      <c r="C23">
        <v>72</v>
      </c>
    </row>
    <row r="24" spans="1:3" x14ac:dyDescent="0.2">
      <c r="A24" s="3" t="s">
        <v>14</v>
      </c>
      <c r="B24">
        <v>63.33</v>
      </c>
      <c r="C24">
        <v>126</v>
      </c>
    </row>
    <row r="25" spans="1:3" x14ac:dyDescent="0.2">
      <c r="A25" s="3" t="s">
        <v>41</v>
      </c>
      <c r="B25">
        <v>58.73</v>
      </c>
      <c r="C25">
        <v>110</v>
      </c>
    </row>
    <row r="26" spans="1:3" x14ac:dyDescent="0.2">
      <c r="A26" s="3" t="s">
        <v>16</v>
      </c>
      <c r="B26">
        <v>58.26</v>
      </c>
      <c r="C26">
        <v>92</v>
      </c>
    </row>
    <row r="27" spans="1:3" x14ac:dyDescent="0.2">
      <c r="A27" s="3" t="s">
        <v>15</v>
      </c>
      <c r="B27">
        <v>63.8</v>
      </c>
      <c r="C27">
        <v>84</v>
      </c>
    </row>
    <row r="28" spans="1:3" x14ac:dyDescent="0.2">
      <c r="A28" s="3" t="s">
        <v>17</v>
      </c>
      <c r="B28">
        <v>61</v>
      </c>
      <c r="C28">
        <v>70</v>
      </c>
    </row>
    <row r="29" spans="1:3" x14ac:dyDescent="0.2">
      <c r="A29" s="3" t="s">
        <v>7</v>
      </c>
      <c r="B29">
        <v>60.64</v>
      </c>
      <c r="C29">
        <v>36</v>
      </c>
    </row>
    <row r="30" spans="1:3" x14ac:dyDescent="0.2">
      <c r="A30" s="3" t="s">
        <v>8</v>
      </c>
      <c r="B30">
        <v>60.2</v>
      </c>
      <c r="C30">
        <v>78</v>
      </c>
    </row>
    <row r="31" spans="1:3" x14ac:dyDescent="0.2">
      <c r="A31" s="3" t="s">
        <v>9</v>
      </c>
      <c r="B31">
        <v>49.7</v>
      </c>
      <c r="C31">
        <v>49</v>
      </c>
    </row>
    <row r="32" spans="1:3" x14ac:dyDescent="0.2">
      <c r="A32" s="3" t="s">
        <v>50</v>
      </c>
    </row>
    <row r="33" spans="1:3" x14ac:dyDescent="0.2">
      <c r="A33" s="3" t="s">
        <v>51</v>
      </c>
      <c r="B33">
        <v>1723.3400000000001</v>
      </c>
      <c r="C33">
        <v>2440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2E64-6ECE-EB4B-A863-5063D09588C0}">
  <dimension ref="A1:AM42"/>
  <sheetViews>
    <sheetView tabSelected="1" zoomScale="94" zoomScaleNormal="60" zoomScaleSheetLayoutView="100" workbookViewId="0">
      <selection activeCell="C33" sqref="C33"/>
    </sheetView>
  </sheetViews>
  <sheetFormatPr baseColWidth="10" defaultColWidth="8.83203125" defaultRowHeight="15" x14ac:dyDescent="0.2"/>
  <cols>
    <col min="1" max="1" width="22" customWidth="1"/>
    <col min="2" max="3" width="37.1640625" customWidth="1"/>
    <col min="4" max="4" width="37.33203125" customWidth="1"/>
    <col min="5" max="5" width="26.1640625" customWidth="1"/>
    <col min="6" max="6" width="27.6640625" customWidth="1"/>
    <col min="7" max="7" width="25.6640625" customWidth="1"/>
    <col min="8" max="8" width="33" customWidth="1"/>
    <col min="9" max="9" width="40.1640625" customWidth="1"/>
    <col min="10" max="10" width="35.83203125" customWidth="1"/>
    <col min="11" max="11" width="16.33203125" customWidth="1"/>
    <col min="12" max="12" width="17.5" customWidth="1"/>
    <col min="13" max="13" width="25.5" customWidth="1"/>
    <col min="14" max="14" width="22.6640625" customWidth="1"/>
    <col min="15" max="15" width="32.5" customWidth="1"/>
    <col min="16" max="16" width="31.83203125" customWidth="1"/>
    <col min="17" max="17" width="32" customWidth="1"/>
    <col min="18" max="18" width="15.33203125" customWidth="1"/>
    <col min="19" max="19" width="17.6640625" customWidth="1"/>
  </cols>
  <sheetData>
    <row r="1" spans="1:39" ht="16" x14ac:dyDescent="0.2">
      <c r="A1" s="7" t="s">
        <v>0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40</v>
      </c>
      <c r="I1" s="7" t="s">
        <v>25</v>
      </c>
      <c r="J1" s="7" t="s">
        <v>26</v>
      </c>
      <c r="K1" s="7" t="s">
        <v>18</v>
      </c>
      <c r="L1" s="7" t="s">
        <v>10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42</v>
      </c>
      <c r="S1" s="7" t="s">
        <v>43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6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x14ac:dyDescent="0.2">
      <c r="A3" s="5" t="s">
        <v>27</v>
      </c>
      <c r="B3" s="5">
        <v>0</v>
      </c>
      <c r="C3" s="5">
        <v>0</v>
      </c>
      <c r="D3" s="5">
        <v>10000</v>
      </c>
      <c r="E3" s="5">
        <v>30000</v>
      </c>
      <c r="F3" s="5">
        <v>30000</v>
      </c>
      <c r="G3" s="5">
        <v>120000</v>
      </c>
      <c r="H3" s="5">
        <v>57.5</v>
      </c>
      <c r="I3" s="5">
        <v>46.46</v>
      </c>
      <c r="J3" s="5">
        <v>0.5</v>
      </c>
      <c r="K3" s="6">
        <v>44930</v>
      </c>
      <c r="L3" s="5">
        <v>66.31</v>
      </c>
      <c r="M3" s="5">
        <v>74</v>
      </c>
      <c r="N3" s="5">
        <v>44</v>
      </c>
      <c r="O3" s="5">
        <v>28</v>
      </c>
      <c r="P3" s="5">
        <f>N3-O3</f>
        <v>16</v>
      </c>
      <c r="Q3" s="5">
        <f>I3/D3</f>
        <v>4.646E-3</v>
      </c>
      <c r="R3" s="5">
        <f>L3+3.2</f>
        <v>69.510000000000005</v>
      </c>
      <c r="S3" s="5">
        <v>357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6" x14ac:dyDescent="0.2">
      <c r="A4" s="5" t="s">
        <v>28</v>
      </c>
      <c r="B4" s="5">
        <v>0</v>
      </c>
      <c r="C4" s="5">
        <v>0</v>
      </c>
      <c r="D4" s="5">
        <v>1250</v>
      </c>
      <c r="E4" s="5">
        <f>D4*3</f>
        <v>3750</v>
      </c>
      <c r="F4" s="5">
        <f>E4</f>
        <v>3750</v>
      </c>
      <c r="G4" s="5">
        <f>D4*12</f>
        <v>15000</v>
      </c>
      <c r="H4" s="5">
        <v>7.5</v>
      </c>
      <c r="I4" s="5">
        <v>6.63</v>
      </c>
      <c r="J4" s="5">
        <v>0.1</v>
      </c>
      <c r="K4" s="6">
        <v>44930</v>
      </c>
      <c r="L4" s="5">
        <v>66.790000000000006</v>
      </c>
      <c r="M4" s="5">
        <v>114</v>
      </c>
      <c r="N4" s="5">
        <v>44</v>
      </c>
      <c r="O4" s="5">
        <v>28</v>
      </c>
      <c r="P4" s="5">
        <v>16</v>
      </c>
      <c r="Q4" s="5">
        <f t="shared" ref="Q4:Q5" si="0">I4/D4</f>
        <v>5.3039999999999997E-3</v>
      </c>
      <c r="R4" s="5">
        <f>L4+3</f>
        <v>69.790000000000006</v>
      </c>
      <c r="S4" s="5">
        <v>465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x14ac:dyDescent="0.2">
      <c r="A5" s="5" t="s">
        <v>29</v>
      </c>
      <c r="B5" s="5">
        <v>0</v>
      </c>
      <c r="C5" s="5">
        <v>0</v>
      </c>
      <c r="D5" s="5">
        <v>10000</v>
      </c>
      <c r="E5" s="5">
        <f t="shared" ref="E5" si="1">D5*3</f>
        <v>30000</v>
      </c>
      <c r="F5" s="5">
        <f t="shared" ref="F5:F6" si="2">E5</f>
        <v>30000</v>
      </c>
      <c r="G5" s="5">
        <f t="shared" ref="G5" si="3">D5*12</f>
        <v>120000</v>
      </c>
      <c r="H5" s="5">
        <v>48.5</v>
      </c>
      <c r="I5" s="5">
        <v>44.86</v>
      </c>
      <c r="J5" s="5">
        <v>0.7</v>
      </c>
      <c r="K5" s="6">
        <v>44932</v>
      </c>
      <c r="L5" s="5">
        <v>63.55</v>
      </c>
      <c r="M5" s="5">
        <v>106</v>
      </c>
      <c r="N5" s="5">
        <v>46</v>
      </c>
      <c r="O5" s="5">
        <v>29</v>
      </c>
      <c r="P5" s="5">
        <f>N5-O5</f>
        <v>17</v>
      </c>
      <c r="Q5" s="5">
        <f t="shared" si="0"/>
        <v>4.4859999999999995E-3</v>
      </c>
      <c r="R5" s="5">
        <f>L5+4</f>
        <v>67.55</v>
      </c>
      <c r="S5" s="5">
        <v>527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6" x14ac:dyDescent="0.2">
      <c r="A6" s="5" t="s">
        <v>30</v>
      </c>
      <c r="B6" s="5">
        <v>10000</v>
      </c>
      <c r="C6" s="5">
        <v>0</v>
      </c>
      <c r="D6" s="5">
        <v>0</v>
      </c>
      <c r="E6" s="5">
        <f>B6*3</f>
        <v>30000</v>
      </c>
      <c r="F6" s="5">
        <f t="shared" si="2"/>
        <v>30000</v>
      </c>
      <c r="G6" s="5">
        <f>B6*12</f>
        <v>120000</v>
      </c>
      <c r="H6" s="5">
        <v>14.5</v>
      </c>
      <c r="I6" s="5">
        <v>13.23</v>
      </c>
      <c r="J6" s="5">
        <v>0.2</v>
      </c>
      <c r="K6" s="6">
        <v>44932</v>
      </c>
      <c r="L6" s="5">
        <v>64.34</v>
      </c>
      <c r="M6" s="5">
        <v>91</v>
      </c>
      <c r="N6" s="5">
        <v>58</v>
      </c>
      <c r="O6" s="5">
        <v>29</v>
      </c>
      <c r="P6" s="5">
        <f>N6-O6</f>
        <v>29</v>
      </c>
      <c r="Q6" s="5">
        <f>I6/B6</f>
        <v>1.323E-3</v>
      </c>
      <c r="R6" s="5">
        <f>L6+2.5</f>
        <v>66.84</v>
      </c>
      <c r="S6" s="5">
        <v>399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6" x14ac:dyDescent="0.2">
      <c r="A7" s="5" t="s">
        <v>31</v>
      </c>
      <c r="B7" s="5">
        <v>10000</v>
      </c>
      <c r="C7" s="5">
        <v>0</v>
      </c>
      <c r="D7" s="5">
        <v>0</v>
      </c>
      <c r="E7" s="5">
        <f>B6*3</f>
        <v>30000</v>
      </c>
      <c r="F7" s="5">
        <f>B6*3</f>
        <v>30000</v>
      </c>
      <c r="G7" s="5">
        <f>B7*12</f>
        <v>120000</v>
      </c>
      <c r="H7" s="5">
        <v>15.1</v>
      </c>
      <c r="I7" s="5">
        <v>13.7</v>
      </c>
      <c r="J7" s="5">
        <v>0</v>
      </c>
      <c r="K7" s="6">
        <v>44935</v>
      </c>
      <c r="L7" s="5">
        <v>64.430000000000007</v>
      </c>
      <c r="M7" s="5">
        <v>56</v>
      </c>
      <c r="N7" s="5">
        <v>47</v>
      </c>
      <c r="O7" s="5">
        <v>26</v>
      </c>
      <c r="P7" s="5">
        <f t="shared" ref="P7:P30" si="4">N7-O7</f>
        <v>21</v>
      </c>
      <c r="Q7" s="5">
        <f>I7/B7</f>
        <v>1.3699999999999999E-3</v>
      </c>
      <c r="R7" s="5">
        <f>L7+3.5</f>
        <v>67.930000000000007</v>
      </c>
      <c r="S7" s="5">
        <v>367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6" x14ac:dyDescent="0.2">
      <c r="A8" s="5" t="s">
        <v>32</v>
      </c>
      <c r="B8" s="5">
        <v>20000</v>
      </c>
      <c r="C8" s="5">
        <v>0</v>
      </c>
      <c r="D8" s="5">
        <v>0</v>
      </c>
      <c r="E8" s="5">
        <f>B8*3</f>
        <v>60000</v>
      </c>
      <c r="F8" s="5">
        <f>B8*3</f>
        <v>60000</v>
      </c>
      <c r="G8" s="5">
        <f>B8*12</f>
        <v>240000</v>
      </c>
      <c r="H8" s="5">
        <v>29</v>
      </c>
      <c r="I8" s="5">
        <v>23.82</v>
      </c>
      <c r="J8" s="5">
        <v>0.1</v>
      </c>
      <c r="K8" s="6">
        <v>44935</v>
      </c>
      <c r="L8" s="5">
        <v>64.430000000000007</v>
      </c>
      <c r="M8" s="5">
        <v>80</v>
      </c>
      <c r="N8" s="5">
        <v>47</v>
      </c>
      <c r="O8" s="5">
        <v>25</v>
      </c>
      <c r="P8" s="5">
        <f t="shared" si="4"/>
        <v>22</v>
      </c>
      <c r="Q8" s="5">
        <f>I8/B8</f>
        <v>1.191E-3</v>
      </c>
      <c r="R8" s="5">
        <f>L8+4.2</f>
        <v>68.63000000000001</v>
      </c>
      <c r="S8" s="5">
        <v>380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6" x14ac:dyDescent="0.2">
      <c r="A9" s="5" t="s">
        <v>33</v>
      </c>
      <c r="B9" s="5">
        <v>10000</v>
      </c>
      <c r="C9" s="5">
        <v>0</v>
      </c>
      <c r="D9" s="5">
        <v>0</v>
      </c>
      <c r="E9" s="5">
        <f>B9*3</f>
        <v>30000</v>
      </c>
      <c r="F9" s="5">
        <f>B9*3</f>
        <v>30000</v>
      </c>
      <c r="G9" s="5">
        <f>B9*12</f>
        <v>120000</v>
      </c>
      <c r="H9" s="5">
        <v>12.7</v>
      </c>
      <c r="I9" s="5">
        <v>9</v>
      </c>
      <c r="J9" s="5">
        <v>0.3</v>
      </c>
      <c r="K9" s="6">
        <v>44935</v>
      </c>
      <c r="L9" s="5">
        <v>55.82</v>
      </c>
      <c r="M9" s="5">
        <v>127</v>
      </c>
      <c r="N9" s="5">
        <v>51</v>
      </c>
      <c r="O9" s="5">
        <v>32</v>
      </c>
      <c r="P9" s="5">
        <f t="shared" si="4"/>
        <v>19</v>
      </c>
      <c r="Q9" s="5">
        <f>I9/B9</f>
        <v>8.9999999999999998E-4</v>
      </c>
      <c r="R9" s="5">
        <f>L9+5</f>
        <v>60.82</v>
      </c>
      <c r="S9" s="5">
        <v>468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6" x14ac:dyDescent="0.2">
      <c r="A10" s="5" t="s">
        <v>34</v>
      </c>
      <c r="B10" s="5">
        <v>0</v>
      </c>
      <c r="C10" s="5">
        <v>15000</v>
      </c>
      <c r="D10" s="5">
        <v>0</v>
      </c>
      <c r="E10" s="5">
        <f>C10*3</f>
        <v>45000</v>
      </c>
      <c r="F10" s="5">
        <f>C10*3</f>
        <v>45000</v>
      </c>
      <c r="G10" s="5">
        <f>C10*12</f>
        <v>180000</v>
      </c>
      <c r="H10" s="5">
        <v>21.25</v>
      </c>
      <c r="I10" s="5">
        <v>19.850000000000001</v>
      </c>
      <c r="J10" s="5">
        <v>0.4</v>
      </c>
      <c r="K10" s="6">
        <v>44939</v>
      </c>
      <c r="L10" s="5">
        <v>61.85</v>
      </c>
      <c r="M10" s="5">
        <v>140</v>
      </c>
      <c r="N10" s="5">
        <v>30</v>
      </c>
      <c r="O10" s="5">
        <v>22</v>
      </c>
      <c r="P10" s="5">
        <f t="shared" si="4"/>
        <v>8</v>
      </c>
      <c r="Q10" s="5">
        <f>I10/C10</f>
        <v>1.3233333333333335E-3</v>
      </c>
      <c r="R10" s="5">
        <f>L10+2.7</f>
        <v>64.55</v>
      </c>
      <c r="S10" s="5">
        <v>521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6" x14ac:dyDescent="0.2">
      <c r="A11" s="5" t="s">
        <v>2</v>
      </c>
      <c r="B11" s="5">
        <v>0</v>
      </c>
      <c r="C11" s="5">
        <v>0</v>
      </c>
      <c r="D11" s="5">
        <v>10000</v>
      </c>
      <c r="E11" s="5">
        <f>D11*3</f>
        <v>30000</v>
      </c>
      <c r="F11" s="5">
        <f>D11*3</f>
        <v>30000</v>
      </c>
      <c r="G11" s="5">
        <f>D11*12</f>
        <v>120000</v>
      </c>
      <c r="H11" s="5">
        <f>42</f>
        <v>42</v>
      </c>
      <c r="I11" s="5">
        <v>40</v>
      </c>
      <c r="J11" s="5">
        <v>0.4</v>
      </c>
      <c r="K11" s="6">
        <v>45237</v>
      </c>
      <c r="L11" s="5">
        <v>63.79</v>
      </c>
      <c r="M11" s="5">
        <v>189</v>
      </c>
      <c r="N11" s="5">
        <v>30</v>
      </c>
      <c r="O11" s="5">
        <v>24</v>
      </c>
      <c r="P11" s="5">
        <f t="shared" si="4"/>
        <v>6</v>
      </c>
      <c r="Q11" s="5">
        <f>I11/D11</f>
        <v>4.0000000000000001E-3</v>
      </c>
      <c r="R11" s="5">
        <f>L11+4.1</f>
        <v>67.89</v>
      </c>
      <c r="S11" s="5">
        <v>567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6" x14ac:dyDescent="0.2">
      <c r="A12" s="5" t="s">
        <v>3</v>
      </c>
      <c r="B12" s="5">
        <v>0</v>
      </c>
      <c r="C12" s="5">
        <v>0</v>
      </c>
      <c r="D12" s="5">
        <v>5000</v>
      </c>
      <c r="E12" s="5">
        <f t="shared" ref="E12:E13" si="5">D12*3</f>
        <v>15000</v>
      </c>
      <c r="F12" s="5">
        <f t="shared" ref="F12:F13" si="6">D12*3</f>
        <v>15000</v>
      </c>
      <c r="G12" s="5">
        <f t="shared" ref="G12:G13" si="7">D12*12</f>
        <v>60000</v>
      </c>
      <c r="H12" s="5">
        <v>24</v>
      </c>
      <c r="I12" s="5">
        <v>19.98</v>
      </c>
      <c r="J12" s="5">
        <v>0.2</v>
      </c>
      <c r="K12" s="6">
        <v>45240</v>
      </c>
      <c r="L12" s="5">
        <v>63.6</v>
      </c>
      <c r="M12" s="5">
        <v>56</v>
      </c>
      <c r="N12" s="5">
        <v>35</v>
      </c>
      <c r="O12" s="5">
        <v>25</v>
      </c>
      <c r="P12" s="5">
        <f t="shared" si="4"/>
        <v>10</v>
      </c>
      <c r="Q12" s="5">
        <f>I12/D12</f>
        <v>3.9960000000000004E-3</v>
      </c>
      <c r="R12" s="5">
        <f>L12+3.3</f>
        <v>66.900000000000006</v>
      </c>
      <c r="S12" s="5">
        <v>345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" x14ac:dyDescent="0.2">
      <c r="A13" s="5" t="s">
        <v>4</v>
      </c>
      <c r="B13" s="5">
        <v>0</v>
      </c>
      <c r="C13" s="5">
        <v>0</v>
      </c>
      <c r="D13" s="5">
        <v>5000</v>
      </c>
      <c r="E13" s="5">
        <f t="shared" si="5"/>
        <v>15000</v>
      </c>
      <c r="F13" s="5">
        <f t="shared" si="6"/>
        <v>15000</v>
      </c>
      <c r="G13" s="5">
        <f t="shared" si="7"/>
        <v>60000</v>
      </c>
      <c r="H13" s="5">
        <v>24.3</v>
      </c>
      <c r="I13" s="5">
        <v>20</v>
      </c>
      <c r="J13" s="5">
        <v>0.1</v>
      </c>
      <c r="K13" s="6">
        <v>45212</v>
      </c>
      <c r="L13" s="5">
        <v>64.400000000000006</v>
      </c>
      <c r="M13" s="5">
        <v>54</v>
      </c>
      <c r="N13" s="5">
        <v>32</v>
      </c>
      <c r="O13" s="5">
        <v>22</v>
      </c>
      <c r="P13" s="5">
        <f t="shared" si="4"/>
        <v>10</v>
      </c>
      <c r="Q13" s="5">
        <f>I13/D13</f>
        <v>4.0000000000000001E-3</v>
      </c>
      <c r="R13" s="5">
        <f>L13+3.5</f>
        <v>67.900000000000006</v>
      </c>
      <c r="S13" s="5">
        <v>387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6" x14ac:dyDescent="0.2">
      <c r="A14" s="5" t="s">
        <v>5</v>
      </c>
      <c r="B14" s="5">
        <v>0</v>
      </c>
      <c r="C14" s="5">
        <v>2000</v>
      </c>
      <c r="D14" s="5">
        <v>0</v>
      </c>
      <c r="E14" s="5">
        <f>C14*3</f>
        <v>6000</v>
      </c>
      <c r="F14" s="5">
        <f>C14*3</f>
        <v>6000</v>
      </c>
      <c r="G14" s="5">
        <f>C14*12</f>
        <v>24000</v>
      </c>
      <c r="H14" s="5">
        <v>5.4</v>
      </c>
      <c r="I14" s="5">
        <v>3.7</v>
      </c>
      <c r="J14" s="5">
        <v>0</v>
      </c>
      <c r="K14" s="6">
        <v>45120</v>
      </c>
      <c r="L14" s="5">
        <v>57</v>
      </c>
      <c r="M14" s="5">
        <v>46</v>
      </c>
      <c r="N14" s="5">
        <v>45</v>
      </c>
      <c r="O14" s="5">
        <v>30</v>
      </c>
      <c r="P14" s="5">
        <f t="shared" si="4"/>
        <v>15</v>
      </c>
      <c r="Q14" s="5">
        <f>I14/C14</f>
        <v>1.8500000000000001E-3</v>
      </c>
      <c r="R14" s="5">
        <f>L14+3.6</f>
        <v>60.6</v>
      </c>
      <c r="S14" s="5">
        <v>388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6" x14ac:dyDescent="0.2">
      <c r="A15" s="5" t="s">
        <v>6</v>
      </c>
      <c r="B15" s="5">
        <v>0</v>
      </c>
      <c r="C15" s="5">
        <v>2500</v>
      </c>
      <c r="D15" s="5">
        <v>0</v>
      </c>
      <c r="E15" s="5">
        <f>C15*3</f>
        <v>7500</v>
      </c>
      <c r="F15" s="5">
        <f>C15*3</f>
        <v>7500</v>
      </c>
      <c r="G15" s="5">
        <f>C15*12</f>
        <v>30000</v>
      </c>
      <c r="H15" s="5">
        <v>6.3</v>
      </c>
      <c r="I15" s="5">
        <v>4.8</v>
      </c>
      <c r="J15" s="5">
        <v>0</v>
      </c>
      <c r="K15" s="6">
        <v>45121</v>
      </c>
      <c r="L15" s="5">
        <v>64.39</v>
      </c>
      <c r="M15" s="5">
        <v>49</v>
      </c>
      <c r="N15" s="5">
        <v>40</v>
      </c>
      <c r="O15" s="5">
        <v>29</v>
      </c>
      <c r="P15" s="5">
        <f t="shared" si="4"/>
        <v>11</v>
      </c>
      <c r="Q15" s="5">
        <f>I15/C15</f>
        <v>1.9199999999999998E-3</v>
      </c>
      <c r="R15" s="5">
        <f>L15+5.4</f>
        <v>69.790000000000006</v>
      </c>
      <c r="S15" s="5">
        <v>334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6" x14ac:dyDescent="0.2">
      <c r="A16" s="5" t="s">
        <v>7</v>
      </c>
      <c r="B16" s="5">
        <v>500</v>
      </c>
      <c r="C16" s="5">
        <v>0</v>
      </c>
      <c r="D16" s="5">
        <v>0</v>
      </c>
      <c r="E16" s="5">
        <f>B16*3</f>
        <v>1500</v>
      </c>
      <c r="F16" s="5">
        <f>B16*3</f>
        <v>1500</v>
      </c>
      <c r="G16" s="5">
        <f>B16*12</f>
        <v>6000</v>
      </c>
      <c r="H16" s="5">
        <v>0.7</v>
      </c>
      <c r="I16" s="5">
        <v>0.5</v>
      </c>
      <c r="J16" s="5">
        <v>0</v>
      </c>
      <c r="K16" s="6">
        <v>44990</v>
      </c>
      <c r="L16" s="5">
        <v>60.64</v>
      </c>
      <c r="M16" s="5">
        <v>36</v>
      </c>
      <c r="N16" s="5">
        <v>39</v>
      </c>
      <c r="O16" s="5">
        <v>26</v>
      </c>
      <c r="P16" s="5">
        <f t="shared" si="4"/>
        <v>13</v>
      </c>
      <c r="Q16" s="5">
        <f>I16/B16</f>
        <v>1E-3</v>
      </c>
      <c r="R16" s="5">
        <f>L16+3.5</f>
        <v>64.14</v>
      </c>
      <c r="S16" s="5">
        <v>332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6" x14ac:dyDescent="0.2">
      <c r="A17" s="5" t="s">
        <v>8</v>
      </c>
      <c r="B17" s="5">
        <v>1500</v>
      </c>
      <c r="C17" s="5">
        <v>0</v>
      </c>
      <c r="D17" s="5">
        <v>0</v>
      </c>
      <c r="E17" s="5">
        <f>B17*3</f>
        <v>4500</v>
      </c>
      <c r="F17" s="5">
        <f>B17*3</f>
        <v>4500</v>
      </c>
      <c r="G17" s="5">
        <f>B17*12</f>
        <v>18000</v>
      </c>
      <c r="H17" s="5">
        <v>1.6</v>
      </c>
      <c r="I17" s="5">
        <v>1.3</v>
      </c>
      <c r="J17" s="5">
        <v>0</v>
      </c>
      <c r="K17" s="6">
        <v>44990</v>
      </c>
      <c r="L17" s="5">
        <v>60.2</v>
      </c>
      <c r="M17" s="5">
        <v>78</v>
      </c>
      <c r="N17" s="5">
        <v>40</v>
      </c>
      <c r="O17" s="5">
        <v>27</v>
      </c>
      <c r="P17" s="5">
        <f t="shared" si="4"/>
        <v>13</v>
      </c>
      <c r="Q17" s="5">
        <f>I17/B17</f>
        <v>8.6666666666666674E-4</v>
      </c>
      <c r="R17" s="5">
        <f>L17+3.1</f>
        <v>63.300000000000004</v>
      </c>
      <c r="S17" s="5">
        <v>391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6" x14ac:dyDescent="0.2">
      <c r="A18" s="5" t="s">
        <v>9</v>
      </c>
      <c r="B18" s="5">
        <v>2000</v>
      </c>
      <c r="C18" s="5">
        <v>0</v>
      </c>
      <c r="D18" s="5">
        <v>0</v>
      </c>
      <c r="E18" s="5">
        <f>B18*3</f>
        <v>6000</v>
      </c>
      <c r="F18" s="5">
        <f>B18*3</f>
        <v>6000</v>
      </c>
      <c r="G18" s="5">
        <f>B18*12</f>
        <v>24000</v>
      </c>
      <c r="H18" s="5">
        <v>1.8</v>
      </c>
      <c r="I18" s="5">
        <v>1.4</v>
      </c>
      <c r="J18" s="5">
        <v>0</v>
      </c>
      <c r="K18" s="6">
        <v>44990</v>
      </c>
      <c r="L18" s="5">
        <v>49.7</v>
      </c>
      <c r="M18" s="5">
        <v>49</v>
      </c>
      <c r="N18" s="5">
        <v>49</v>
      </c>
      <c r="O18" s="5">
        <v>35</v>
      </c>
      <c r="P18" s="5">
        <f t="shared" si="4"/>
        <v>14</v>
      </c>
      <c r="Q18" s="5">
        <f>I18/B18</f>
        <v>6.9999999999999999E-4</v>
      </c>
      <c r="R18" s="5">
        <f>L18+4.1</f>
        <v>53.800000000000004</v>
      </c>
      <c r="S18" s="5">
        <v>342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6" x14ac:dyDescent="0.2">
      <c r="A19" s="5" t="s">
        <v>11</v>
      </c>
      <c r="B19" s="5">
        <v>0</v>
      </c>
      <c r="C19" s="5">
        <v>0</v>
      </c>
      <c r="D19" s="5">
        <v>20000</v>
      </c>
      <c r="E19" s="5">
        <f>D19*3</f>
        <v>60000</v>
      </c>
      <c r="F19" s="5">
        <f>D19*3</f>
        <v>60000</v>
      </c>
      <c r="G19" s="5">
        <f>D19*12</f>
        <v>240000</v>
      </c>
      <c r="H19" s="5">
        <v>98.5</v>
      </c>
      <c r="I19" s="5">
        <v>92</v>
      </c>
      <c r="J19" s="5">
        <v>0.6</v>
      </c>
      <c r="K19" s="6">
        <v>45253</v>
      </c>
      <c r="L19" s="5">
        <v>63.65</v>
      </c>
      <c r="M19" s="5">
        <v>67</v>
      </c>
      <c r="N19" s="5">
        <v>30</v>
      </c>
      <c r="O19" s="5">
        <v>23</v>
      </c>
      <c r="P19" s="5">
        <f t="shared" si="4"/>
        <v>7</v>
      </c>
      <c r="Q19" s="5">
        <f>I19/D19</f>
        <v>4.5999999999999999E-3</v>
      </c>
      <c r="R19" s="5">
        <f>L19+3.9</f>
        <v>67.55</v>
      </c>
      <c r="S19" s="5">
        <v>331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6" x14ac:dyDescent="0.2">
      <c r="A20" s="5" t="s">
        <v>1</v>
      </c>
      <c r="B20" s="5">
        <v>0</v>
      </c>
      <c r="C20" s="5">
        <v>0</v>
      </c>
      <c r="D20" s="5">
        <v>20000</v>
      </c>
      <c r="E20" s="5">
        <f>D20*3</f>
        <v>60000</v>
      </c>
      <c r="F20" s="5">
        <f>D20*3</f>
        <v>60000</v>
      </c>
      <c r="G20" s="5">
        <f>D20*12</f>
        <v>240000</v>
      </c>
      <c r="H20" s="5">
        <v>96.4</v>
      </c>
      <c r="I20" s="5">
        <v>92.2</v>
      </c>
      <c r="J20" s="5">
        <v>0.5</v>
      </c>
      <c r="K20" s="6">
        <v>45256</v>
      </c>
      <c r="L20" s="5">
        <v>61.05</v>
      </c>
      <c r="M20" s="5">
        <v>157</v>
      </c>
      <c r="N20" s="5">
        <v>40</v>
      </c>
      <c r="O20" s="5">
        <v>26</v>
      </c>
      <c r="P20" s="5">
        <f t="shared" si="4"/>
        <v>14</v>
      </c>
      <c r="Q20" s="5">
        <f>I20/D20</f>
        <v>4.6100000000000004E-3</v>
      </c>
      <c r="R20" s="5">
        <f>L20+4.1</f>
        <v>65.149999999999991</v>
      </c>
      <c r="S20" s="5">
        <v>531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6" x14ac:dyDescent="0.2">
      <c r="A21" s="5" t="s">
        <v>12</v>
      </c>
      <c r="B21" s="5">
        <v>0</v>
      </c>
      <c r="C21" s="5">
        <v>5000</v>
      </c>
      <c r="D21" s="5">
        <v>0</v>
      </c>
      <c r="E21" s="5">
        <f>C21*3</f>
        <v>15000</v>
      </c>
      <c r="F21" s="5">
        <f>C21*3</f>
        <v>15000</v>
      </c>
      <c r="G21" s="5">
        <f>C21*12</f>
        <v>60000</v>
      </c>
      <c r="H21" s="5">
        <v>12</v>
      </c>
      <c r="I21" s="5">
        <v>10.7</v>
      </c>
      <c r="J21" s="5">
        <v>0.1</v>
      </c>
      <c r="K21" s="6">
        <v>45256</v>
      </c>
      <c r="L21" s="5">
        <v>61.1</v>
      </c>
      <c r="M21" s="5">
        <v>60</v>
      </c>
      <c r="N21" s="5">
        <v>45</v>
      </c>
      <c r="O21" s="5">
        <v>31</v>
      </c>
      <c r="P21" s="5">
        <f t="shared" si="4"/>
        <v>14</v>
      </c>
      <c r="Q21" s="5">
        <f>I21/C21</f>
        <v>2.14E-3</v>
      </c>
      <c r="R21" s="5">
        <f>L21+3.6</f>
        <v>64.7</v>
      </c>
      <c r="S21" s="5">
        <v>372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6" x14ac:dyDescent="0.2">
      <c r="A22" s="5" t="s">
        <v>13</v>
      </c>
      <c r="B22" s="5">
        <v>0</v>
      </c>
      <c r="C22" s="5">
        <v>10000</v>
      </c>
      <c r="D22" s="5">
        <v>0</v>
      </c>
      <c r="E22" s="5">
        <f>C22*3</f>
        <v>30000</v>
      </c>
      <c r="F22" s="5">
        <f>C22*3</f>
        <v>30000</v>
      </c>
      <c r="G22" s="5">
        <f>C22*12</f>
        <v>120000</v>
      </c>
      <c r="H22" s="5">
        <v>22</v>
      </c>
      <c r="I22" s="5">
        <v>21.3</v>
      </c>
      <c r="J22" s="5">
        <v>0.1</v>
      </c>
      <c r="K22" s="6">
        <v>45258</v>
      </c>
      <c r="L22" s="5">
        <v>58.76</v>
      </c>
      <c r="M22" s="5">
        <v>72</v>
      </c>
      <c r="N22" s="5">
        <v>45</v>
      </c>
      <c r="O22" s="5">
        <v>29</v>
      </c>
      <c r="P22" s="5">
        <f t="shared" si="4"/>
        <v>16</v>
      </c>
      <c r="Q22" s="5">
        <f>I22/C22</f>
        <v>2.1299999999999999E-3</v>
      </c>
      <c r="R22" s="5">
        <f>L22+3.6</f>
        <v>62.36</v>
      </c>
      <c r="S22" s="5">
        <v>377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6" x14ac:dyDescent="0.2">
      <c r="A23" s="5" t="s">
        <v>44</v>
      </c>
      <c r="B23" s="5">
        <v>0</v>
      </c>
      <c r="C23" s="5">
        <v>4000</v>
      </c>
      <c r="D23" s="5">
        <v>0</v>
      </c>
      <c r="E23" s="5">
        <f>C23*3</f>
        <v>12000</v>
      </c>
      <c r="F23" s="5">
        <f>C23*3</f>
        <v>12000</v>
      </c>
      <c r="G23" s="5">
        <f>C23*12</f>
        <v>48000</v>
      </c>
      <c r="H23" s="5">
        <v>13.6</v>
      </c>
      <c r="I23" s="5">
        <v>9.3000000000000007</v>
      </c>
      <c r="J23" s="5">
        <v>0</v>
      </c>
      <c r="K23" s="6">
        <v>45260</v>
      </c>
      <c r="L23" s="5">
        <v>60.3</v>
      </c>
      <c r="M23" s="5">
        <v>59</v>
      </c>
      <c r="N23" s="5">
        <v>46</v>
      </c>
      <c r="O23" s="5">
        <v>34</v>
      </c>
      <c r="P23" s="5">
        <f t="shared" si="4"/>
        <v>12</v>
      </c>
      <c r="Q23" s="5">
        <f>I23/C23</f>
        <v>2.3250000000000002E-3</v>
      </c>
      <c r="R23" s="5">
        <f>L23+3.5</f>
        <v>63.8</v>
      </c>
      <c r="S23" s="5">
        <v>312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6" x14ac:dyDescent="0.2">
      <c r="A24" s="5" t="s">
        <v>14</v>
      </c>
      <c r="B24" s="5">
        <v>20000</v>
      </c>
      <c r="C24" s="5">
        <v>0</v>
      </c>
      <c r="D24" s="5">
        <v>0</v>
      </c>
      <c r="E24" s="5">
        <f>B24*3</f>
        <v>60000</v>
      </c>
      <c r="F24" s="5">
        <f>B24*3</f>
        <v>60000</v>
      </c>
      <c r="G24" s="5">
        <f>B24*12</f>
        <v>240000</v>
      </c>
      <c r="H24" s="5">
        <v>32</v>
      </c>
      <c r="I24" s="5">
        <v>30</v>
      </c>
      <c r="J24" s="5">
        <v>0</v>
      </c>
      <c r="K24" s="6">
        <v>45263</v>
      </c>
      <c r="L24" s="5">
        <v>63.33</v>
      </c>
      <c r="M24" s="5">
        <v>126</v>
      </c>
      <c r="N24" s="5">
        <v>30</v>
      </c>
      <c r="O24" s="5">
        <v>14</v>
      </c>
      <c r="P24" s="5">
        <f t="shared" si="4"/>
        <v>16</v>
      </c>
      <c r="Q24" s="5">
        <f>I24/B24</f>
        <v>1.5E-3</v>
      </c>
      <c r="R24" s="5">
        <f>L24+3.3</f>
        <v>66.63</v>
      </c>
      <c r="S24" s="5">
        <v>563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6" x14ac:dyDescent="0.2">
      <c r="A25" s="5" t="s">
        <v>41</v>
      </c>
      <c r="B25" s="5">
        <v>0</v>
      </c>
      <c r="C25" s="5">
        <v>5000</v>
      </c>
      <c r="D25" s="5">
        <v>0</v>
      </c>
      <c r="E25" s="5">
        <f>C25*3</f>
        <v>15000</v>
      </c>
      <c r="F25" s="5">
        <f>C25*3</f>
        <v>15000</v>
      </c>
      <c r="G25" s="5">
        <f>C25*12</f>
        <v>60000</v>
      </c>
      <c r="H25" s="5">
        <v>15.5</v>
      </c>
      <c r="I25" s="5">
        <v>11.4</v>
      </c>
      <c r="J25" s="5">
        <v>0.1</v>
      </c>
      <c r="K25" s="6">
        <v>45265</v>
      </c>
      <c r="L25" s="5">
        <v>58.73</v>
      </c>
      <c r="M25" s="5">
        <v>110</v>
      </c>
      <c r="N25" s="5">
        <v>24</v>
      </c>
      <c r="O25" s="5">
        <v>20</v>
      </c>
      <c r="P25" s="5">
        <f t="shared" si="4"/>
        <v>4</v>
      </c>
      <c r="Q25" s="5">
        <f>I25/C25</f>
        <v>2.2799999999999999E-3</v>
      </c>
      <c r="R25" s="5">
        <f>L25+2.4</f>
        <v>61.129999999999995</v>
      </c>
      <c r="S25" s="5">
        <v>478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6" x14ac:dyDescent="0.2">
      <c r="A26" s="5" t="s">
        <v>45</v>
      </c>
      <c r="B26" s="5">
        <v>10000</v>
      </c>
      <c r="C26" s="5">
        <v>0</v>
      </c>
      <c r="D26" s="5">
        <v>0</v>
      </c>
      <c r="E26" s="5">
        <f>B26*3</f>
        <v>30000</v>
      </c>
      <c r="F26" s="5">
        <f>B26*3</f>
        <v>30000</v>
      </c>
      <c r="G26" s="5">
        <f>B26*12</f>
        <v>120000</v>
      </c>
      <c r="H26" s="5">
        <v>15.2</v>
      </c>
      <c r="I26" s="5">
        <v>13.3</v>
      </c>
      <c r="J26" s="5">
        <v>0.1</v>
      </c>
      <c r="K26" s="6">
        <v>45267</v>
      </c>
      <c r="L26" s="5">
        <v>61.68</v>
      </c>
      <c r="M26" s="5">
        <v>108</v>
      </c>
      <c r="N26" s="5">
        <v>16</v>
      </c>
      <c r="O26" s="5">
        <v>16</v>
      </c>
      <c r="P26" s="5">
        <f t="shared" si="4"/>
        <v>0</v>
      </c>
      <c r="Q26" s="5">
        <f>I26/B26</f>
        <v>1.33E-3</v>
      </c>
      <c r="R26" s="5">
        <f>L26+2</f>
        <v>63.68</v>
      </c>
      <c r="S26" s="5">
        <v>245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6" x14ac:dyDescent="0.2">
      <c r="A27" s="5" t="s">
        <v>46</v>
      </c>
      <c r="B27" s="5">
        <v>10000</v>
      </c>
      <c r="C27" s="5">
        <v>0</v>
      </c>
      <c r="D27" s="5">
        <v>0</v>
      </c>
      <c r="E27" s="5">
        <f>B27*3</f>
        <v>30000</v>
      </c>
      <c r="F27" s="5">
        <f>B27*3</f>
        <v>30000</v>
      </c>
      <c r="G27" s="5">
        <f>B27*12</f>
        <v>120000</v>
      </c>
      <c r="H27" s="5">
        <v>15.7</v>
      </c>
      <c r="I27" s="5">
        <v>13.3</v>
      </c>
      <c r="J27" s="5">
        <v>0.1</v>
      </c>
      <c r="K27" s="6">
        <v>45267</v>
      </c>
      <c r="L27" s="5">
        <v>60.44</v>
      </c>
      <c r="M27" s="5">
        <v>90</v>
      </c>
      <c r="N27" s="5">
        <v>14</v>
      </c>
      <c r="O27" s="5">
        <v>14</v>
      </c>
      <c r="P27" s="5">
        <f t="shared" si="4"/>
        <v>0</v>
      </c>
      <c r="Q27" s="5">
        <f>I27/B27</f>
        <v>1.33E-3</v>
      </c>
      <c r="R27" s="5">
        <f>L27+2</f>
        <v>62.44</v>
      </c>
      <c r="S27" s="5">
        <v>234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x14ac:dyDescent="0.2">
      <c r="A28" s="5" t="s">
        <v>15</v>
      </c>
      <c r="B28" s="5">
        <v>0</v>
      </c>
      <c r="C28" s="5">
        <v>0</v>
      </c>
      <c r="D28" s="5">
        <v>10000</v>
      </c>
      <c r="E28" s="5">
        <f>D28*3</f>
        <v>30000</v>
      </c>
      <c r="F28" s="5">
        <f>D28*3</f>
        <v>30000</v>
      </c>
      <c r="G28" s="5">
        <f>D28*12</f>
        <v>120000</v>
      </c>
      <c r="H28" s="5">
        <v>43.4</v>
      </c>
      <c r="I28" s="5">
        <v>41.5</v>
      </c>
      <c r="J28" s="5">
        <v>0.1</v>
      </c>
      <c r="K28" s="6">
        <v>45272</v>
      </c>
      <c r="L28" s="5">
        <v>63.8</v>
      </c>
      <c r="M28" s="5">
        <v>84</v>
      </c>
      <c r="N28" s="5">
        <v>40</v>
      </c>
      <c r="O28" s="5">
        <v>29</v>
      </c>
      <c r="P28" s="5">
        <f t="shared" si="4"/>
        <v>11</v>
      </c>
      <c r="Q28" s="5">
        <f>I28/D28</f>
        <v>4.15E-3</v>
      </c>
      <c r="R28" s="5">
        <f>L28+3.1</f>
        <v>66.899999999999991</v>
      </c>
      <c r="S28" s="5">
        <v>356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6" x14ac:dyDescent="0.2">
      <c r="A29" s="5" t="s">
        <v>16</v>
      </c>
      <c r="B29" s="5">
        <v>0</v>
      </c>
      <c r="C29" s="5">
        <v>0</v>
      </c>
      <c r="D29" s="5">
        <v>10000</v>
      </c>
      <c r="E29" s="5">
        <f t="shared" ref="E29:E30" si="8">D29*3</f>
        <v>30000</v>
      </c>
      <c r="F29" s="5">
        <f t="shared" ref="F29:F30" si="9">D29*3</f>
        <v>30000</v>
      </c>
      <c r="G29" s="5">
        <f t="shared" ref="G29:G30" si="10">D29*12</f>
        <v>120000</v>
      </c>
      <c r="H29" s="5">
        <v>44</v>
      </c>
      <c r="I29" s="5">
        <v>42</v>
      </c>
      <c r="J29" s="5">
        <v>0.3</v>
      </c>
      <c r="K29" s="6">
        <v>45272</v>
      </c>
      <c r="L29" s="5">
        <v>58.26</v>
      </c>
      <c r="M29" s="5">
        <v>92</v>
      </c>
      <c r="N29" s="5">
        <v>38</v>
      </c>
      <c r="O29" s="5">
        <v>27</v>
      </c>
      <c r="P29" s="5">
        <f t="shared" si="4"/>
        <v>11</v>
      </c>
      <c r="Q29" s="5">
        <f t="shared" ref="Q29:Q30" si="11">I29/D29</f>
        <v>4.1999999999999997E-3</v>
      </c>
      <c r="R29" s="5">
        <f>L29+3.5</f>
        <v>61.76</v>
      </c>
      <c r="S29" s="5">
        <v>360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6" x14ac:dyDescent="0.2">
      <c r="A30" s="5" t="s">
        <v>17</v>
      </c>
      <c r="B30" s="5">
        <v>0</v>
      </c>
      <c r="C30" s="5">
        <v>0</v>
      </c>
      <c r="D30" s="5">
        <v>10000</v>
      </c>
      <c r="E30" s="5">
        <f t="shared" si="8"/>
        <v>30000</v>
      </c>
      <c r="F30" s="5">
        <f t="shared" si="9"/>
        <v>30000</v>
      </c>
      <c r="G30" s="5">
        <f t="shared" si="10"/>
        <v>120000</v>
      </c>
      <c r="H30" s="5">
        <v>42</v>
      </c>
      <c r="I30" s="5">
        <v>38</v>
      </c>
      <c r="J30" s="5">
        <v>0</v>
      </c>
      <c r="K30" s="6">
        <v>45274</v>
      </c>
      <c r="L30" s="5">
        <v>61</v>
      </c>
      <c r="M30" s="5">
        <v>70</v>
      </c>
      <c r="N30" s="5">
        <v>46</v>
      </c>
      <c r="O30" s="5">
        <v>28</v>
      </c>
      <c r="P30" s="5">
        <f t="shared" si="4"/>
        <v>18</v>
      </c>
      <c r="Q30" s="5">
        <f t="shared" si="11"/>
        <v>3.8E-3</v>
      </c>
      <c r="R30" s="5">
        <f t="shared" ref="R30" si="12">L30+3</f>
        <v>64</v>
      </c>
      <c r="S30" s="5">
        <v>371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</sheetData>
  <pageMargins left="0.7" right="0.7" top="0.75" bottom="0.75" header="0.3" footer="0.3"/>
  <ignoredErrors>
    <ignoredError sqref="E7 E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Thomas</dc:creator>
  <cp:lastModifiedBy>Allen Thomas</cp:lastModifiedBy>
  <dcterms:created xsi:type="dcterms:W3CDTF">2024-01-02T11:20:57Z</dcterms:created>
  <dcterms:modified xsi:type="dcterms:W3CDTF">2024-03-27T09:06:13Z</dcterms:modified>
</cp:coreProperties>
</file>